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ria\Downloads\"/>
    </mc:Choice>
  </mc:AlternateContent>
  <xr:revisionPtr revIDLastSave="0" documentId="13_ncr:1_{53984852-8C59-47BC-8EBE-BDDE18E54A74}" xr6:coauthVersionLast="47" xr6:coauthVersionMax="47" xr10:uidLastSave="{00000000-0000-0000-0000-000000000000}"/>
  <bookViews>
    <workbookView xWindow="-98" yWindow="-98" windowWidth="22695" windowHeight="14476" xr2:uid="{C1E1F54F-DE00-4B0E-9BE0-4F5483E570B1}"/>
  </bookViews>
  <sheets>
    <sheet name="Char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1" i="1"/>
  <c r="B12" i="1"/>
  <c r="B10" i="1"/>
  <c r="Q7" i="1"/>
  <c r="Q8" i="1"/>
  <c r="Q9" i="1"/>
  <c r="Q11" i="1"/>
  <c r="Q12" i="1"/>
  <c r="Q13" i="1"/>
  <c r="Q14" i="1"/>
  <c r="Q15" i="1"/>
  <c r="Q16" i="1"/>
  <c r="Q18" i="1"/>
  <c r="Q21" i="1" s="1"/>
  <c r="Q24" i="1" s="1"/>
  <c r="Q19" i="1"/>
  <c r="Q20" i="1"/>
  <c r="Q22" i="1"/>
  <c r="Q23" i="1"/>
  <c r="Q25" i="1"/>
  <c r="Q27" i="1"/>
  <c r="Q28" i="1"/>
  <c r="Q29" i="1"/>
  <c r="Q30" i="1"/>
  <c r="Q32" i="1"/>
  <c r="Q35" i="1" s="1"/>
  <c r="Q33" i="1"/>
  <c r="Q34" i="1"/>
  <c r="Q36" i="1"/>
  <c r="Q37" i="1"/>
  <c r="Q38" i="1"/>
  <c r="Q43" i="1" s="1"/>
  <c r="Q39" i="1"/>
  <c r="Q40" i="1"/>
  <c r="Q41" i="1"/>
  <c r="Q42" i="1"/>
  <c r="Q44" i="1"/>
  <c r="Q46" i="1"/>
  <c r="Q47" i="1" s="1"/>
  <c r="Q48" i="1"/>
  <c r="Q50" i="1"/>
  <c r="Q52" i="1"/>
  <c r="Q54" i="1"/>
  <c r="Q55" i="1" s="1"/>
  <c r="Q57" i="1"/>
  <c r="Q58" i="1"/>
  <c r="Q59" i="1"/>
  <c r="Q61" i="1"/>
  <c r="Q64" i="1" s="1"/>
  <c r="Q62" i="1"/>
  <c r="Q63" i="1"/>
  <c r="Q66" i="1"/>
  <c r="Q67" i="1"/>
  <c r="Q69" i="1"/>
  <c r="Q70" i="1"/>
  <c r="Q71" i="1"/>
  <c r="Q72" i="1"/>
  <c r="Q73" i="1"/>
  <c r="Q75" i="1"/>
  <c r="Q76" i="1" s="1"/>
  <c r="B3" i="1" s="1"/>
  <c r="Q77" i="1"/>
  <c r="Q78" i="1"/>
  <c r="Q79" i="1"/>
  <c r="Q84" i="1"/>
  <c r="Q85" i="1" s="1"/>
  <c r="Q87" i="1"/>
  <c r="Q92" i="1" s="1"/>
  <c r="Q88" i="1"/>
  <c r="Q89" i="1"/>
  <c r="Q90" i="1"/>
  <c r="Q91" i="1"/>
  <c r="Q93" i="1"/>
  <c r="Q94" i="1"/>
  <c r="Q97" i="1" s="1"/>
  <c r="Q95" i="1"/>
  <c r="Q96" i="1"/>
  <c r="Q98" i="1"/>
  <c r="Q99" i="1"/>
  <c r="Q100" i="1"/>
  <c r="Q101" i="1"/>
  <c r="Q102" i="1"/>
  <c r="Q104" i="1"/>
  <c r="Q105" i="1"/>
  <c r="Q107" i="1"/>
  <c r="Q108" i="1"/>
  <c r="Q109" i="1"/>
  <c r="Q110" i="1"/>
  <c r="Q115" i="1" s="1"/>
  <c r="Q111" i="1"/>
  <c r="Q112" i="1"/>
  <c r="Q113" i="1"/>
  <c r="Q114" i="1"/>
  <c r="Q117" i="1"/>
  <c r="Q118" i="1"/>
  <c r="Q120" i="1" s="1"/>
  <c r="Q119" i="1"/>
  <c r="Q121" i="1"/>
  <c r="Q123" i="1"/>
  <c r="Q124" i="1"/>
  <c r="Q125" i="1"/>
  <c r="Q126" i="1"/>
  <c r="Q127" i="1"/>
  <c r="Q128" i="1"/>
  <c r="Q129" i="1"/>
  <c r="Q131" i="1"/>
  <c r="Q133" i="1" s="1"/>
  <c r="Q132" i="1"/>
  <c r="Q135" i="1"/>
  <c r="Q136" i="1"/>
  <c r="Q137" i="1"/>
  <c r="Q138" i="1"/>
  <c r="Q139" i="1"/>
  <c r="Q140" i="1"/>
  <c r="Q141" i="1"/>
  <c r="Q142" i="1"/>
  <c r="Q146" i="1" s="1"/>
  <c r="Q143" i="1"/>
  <c r="Q144" i="1"/>
  <c r="Q145" i="1"/>
  <c r="Q147" i="1"/>
  <c r="Q148" i="1"/>
  <c r="Q149" i="1"/>
  <c r="Q153" i="1" s="1"/>
  <c r="Q150" i="1"/>
  <c r="Q151" i="1"/>
  <c r="Q152" i="1"/>
  <c r="Q154" i="1"/>
  <c r="Q157" i="1" s="1"/>
  <c r="Q155" i="1"/>
  <c r="Q156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5" i="1"/>
  <c r="Q182" i="1" s="1"/>
  <c r="Q176" i="1"/>
  <c r="Q177" i="1"/>
  <c r="Q178" i="1"/>
  <c r="Q179" i="1"/>
  <c r="Q180" i="1"/>
  <c r="Q181" i="1"/>
  <c r="Q186" i="1"/>
  <c r="Q187" i="1"/>
  <c r="Q188" i="1"/>
  <c r="Q196" i="1" s="1"/>
  <c r="Q224" i="1" s="1"/>
  <c r="Q189" i="1"/>
  <c r="Q190" i="1"/>
  <c r="Q191" i="1"/>
  <c r="Q192" i="1"/>
  <c r="Q193" i="1"/>
  <c r="Q194" i="1"/>
  <c r="Q195" i="1"/>
  <c r="Q197" i="1"/>
  <c r="Q198" i="1"/>
  <c r="Q199" i="1"/>
  <c r="Q200" i="1"/>
  <c r="Q208" i="1" s="1"/>
  <c r="Q201" i="1"/>
  <c r="Q202" i="1"/>
  <c r="Q203" i="1"/>
  <c r="Q204" i="1"/>
  <c r="Q205" i="1"/>
  <c r="Q206" i="1"/>
  <c r="Q207" i="1"/>
  <c r="Q209" i="1"/>
  <c r="Q210" i="1"/>
  <c r="Q211" i="1"/>
  <c r="Q213" i="1"/>
  <c r="Q217" i="1" s="1"/>
  <c r="Q223" i="1" s="1"/>
  <c r="Q214" i="1"/>
  <c r="Q215" i="1"/>
  <c r="Q216" i="1"/>
  <c r="Q218" i="1"/>
  <c r="Q222" i="1" s="1"/>
  <c r="Q219" i="1"/>
  <c r="Q220" i="1"/>
  <c r="Q221" i="1"/>
  <c r="Q226" i="1"/>
  <c r="Q227" i="1"/>
  <c r="Q228" i="1"/>
  <c r="Q229" i="1"/>
  <c r="Q230" i="1"/>
  <c r="Q231" i="1"/>
  <c r="Q233" i="1"/>
  <c r="Q234" i="1"/>
  <c r="Q236" i="1"/>
  <c r="Q238" i="1" s="1"/>
  <c r="Q242" i="1" s="1"/>
  <c r="Q237" i="1"/>
  <c r="Q240" i="1"/>
  <c r="Q241" i="1"/>
  <c r="Q244" i="1"/>
  <c r="Q245" i="1"/>
  <c r="Q246" i="1"/>
  <c r="Q247" i="1"/>
  <c r="Q248" i="1"/>
  <c r="Q249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5" i="1" s="1"/>
  <c r="Q263" i="1"/>
  <c r="Q264" i="1"/>
  <c r="Q266" i="1"/>
  <c r="Q267" i="1"/>
  <c r="Q268" i="1"/>
  <c r="Q269" i="1"/>
  <c r="Q270" i="1"/>
  <c r="Q271" i="1"/>
  <c r="Q272" i="1"/>
  <c r="Q273" i="1"/>
  <c r="Q274" i="1"/>
  <c r="Q276" i="1"/>
  <c r="Q278" i="1"/>
  <c r="Q279" i="1"/>
  <c r="Q280" i="1"/>
  <c r="Q281" i="1"/>
  <c r="Q282" i="1"/>
  <c r="Q283" i="1"/>
  <c r="Q284" i="1"/>
  <c r="Q285" i="1"/>
  <c r="Q286" i="1"/>
  <c r="Q288" i="1"/>
  <c r="Q290" i="1" s="1"/>
  <c r="Q289" i="1"/>
  <c r="Q291" i="1"/>
  <c r="Q292" i="1"/>
  <c r="Q293" i="1"/>
  <c r="Q294" i="1"/>
  <c r="Q295" i="1"/>
  <c r="Q296" i="1"/>
  <c r="Q297" i="1"/>
  <c r="Q298" i="1"/>
  <c r="Q300" i="1" s="1"/>
  <c r="Q299" i="1"/>
  <c r="Q301" i="1"/>
  <c r="Q303" i="1"/>
  <c r="Q304" i="1"/>
  <c r="Q305" i="1"/>
  <c r="Q307" i="1" s="1"/>
  <c r="Q306" i="1"/>
  <c r="Q309" i="1"/>
  <c r="Q310" i="1"/>
  <c r="Q311" i="1"/>
  <c r="Q316" i="1" s="1"/>
  <c r="Q312" i="1"/>
  <c r="Q313" i="1"/>
  <c r="Q314" i="1"/>
  <c r="Q315" i="1"/>
  <c r="Q319" i="1"/>
  <c r="Q320" i="1"/>
  <c r="Q321" i="1"/>
  <c r="Q323" i="1"/>
  <c r="Q324" i="1"/>
  <c r="Q326" i="1"/>
  <c r="Q330" i="1" s="1"/>
  <c r="Q327" i="1"/>
  <c r="Q328" i="1"/>
  <c r="Q329" i="1"/>
  <c r="Q331" i="1"/>
  <c r="Q332" i="1"/>
  <c r="Q333" i="1"/>
  <c r="Q335" i="1" s="1"/>
  <c r="Q334" i="1"/>
  <c r="Q337" i="1"/>
  <c r="Q339" i="1"/>
  <c r="Q342" i="1"/>
  <c r="Q343" i="1" s="1"/>
  <c r="Q344" i="1" s="1"/>
  <c r="Q345" i="1"/>
  <c r="B4" i="1" l="1"/>
  <c r="Q338" i="1"/>
  <c r="Q317" i="1"/>
  <c r="Q183" i="1"/>
  <c r="Q336" i="1"/>
  <c r="Q277" i="1"/>
  <c r="B14" i="1" s="1"/>
  <c r="Q65" i="1"/>
  <c r="Q80" i="1" s="1"/>
  <c r="Q81" i="1" s="1"/>
  <c r="Q275" i="1"/>
  <c r="B1" i="1"/>
  <c r="Q49" i="1"/>
  <c r="B2" i="1"/>
  <c r="Q346" i="1" l="1"/>
  <c r="B5" i="1"/>
  <c r="Q347" i="1" l="1"/>
  <c r="Q348" i="1" s="1"/>
</calcChain>
</file>

<file path=xl/sharedStrings.xml><?xml version="1.0" encoding="utf-8"?>
<sst xmlns="http://schemas.openxmlformats.org/spreadsheetml/2006/main" count="356" uniqueCount="355">
  <si>
    <t>Grants and Contributions</t>
  </si>
  <si>
    <t>Programs</t>
  </si>
  <si>
    <t>Merchandise</t>
  </si>
  <si>
    <t>Investment Income</t>
  </si>
  <si>
    <t>Wednesday, Oct 08, 2025 07:22:10 AM GMT-7 - Accrual Basis</t>
  </si>
  <si>
    <t>Net Income</t>
  </si>
  <si>
    <t>Net Operating Income</t>
  </si>
  <si>
    <t>Total Expenses</t>
  </si>
  <si>
    <t xml:space="preserve">   Reimbursements</t>
  </si>
  <si>
    <t xml:space="preserve">   Total Payroll Expenses</t>
  </si>
  <si>
    <t xml:space="preserve">      Total Company Contributions</t>
  </si>
  <si>
    <t xml:space="preserve">         Retirement</t>
  </si>
  <si>
    <t xml:space="preserve">      Company Contributions</t>
  </si>
  <si>
    <t xml:space="preserve">   Payroll Expenses</t>
  </si>
  <si>
    <t xml:space="preserve">   9402 Other Expense</t>
  </si>
  <si>
    <t xml:space="preserve">   Total 9300 Development</t>
  </si>
  <si>
    <t xml:space="preserve">      9399 Development Other</t>
  </si>
  <si>
    <t xml:space="preserve">      Total 9395 Personnel (Development)</t>
  </si>
  <si>
    <t xml:space="preserve">         Total 93961 Salary-Manager</t>
  </si>
  <si>
    <t xml:space="preserve">            939851 Health Insurance-Manager</t>
  </si>
  <si>
    <t xml:space="preserve">            93981 Payroll Taxes-Manager</t>
  </si>
  <si>
    <t xml:space="preserve">            93971 Retirement-Manager</t>
  </si>
  <si>
    <t xml:space="preserve">         93961 Salary-Manager</t>
  </si>
  <si>
    <t xml:space="preserve">         Total 9396 Salary</t>
  </si>
  <si>
    <t xml:space="preserve">            93985 Health</t>
  </si>
  <si>
    <t xml:space="preserve">            9398 Payroll Tax</t>
  </si>
  <si>
    <t xml:space="preserve">            9397 Retirement</t>
  </si>
  <si>
    <t xml:space="preserve">         9396 Salary</t>
  </si>
  <si>
    <t xml:space="preserve">      9395 Personnel (Development)</t>
  </si>
  <si>
    <t xml:space="preserve">      Total 9385 Volunteer Development</t>
  </si>
  <si>
    <t xml:space="preserve">         9386 Volunteer Appreciation</t>
  </si>
  <si>
    <t xml:space="preserve">      9385 Volunteer Development</t>
  </si>
  <si>
    <t xml:space="preserve">      9370 Annual Appeal</t>
  </si>
  <si>
    <t xml:space="preserve">      9335 Donor Cultivation</t>
  </si>
  <si>
    <t xml:space="preserve">      9320 Membership</t>
  </si>
  <si>
    <t xml:space="preserve">   9300 Development</t>
  </si>
  <si>
    <t xml:space="preserve">   Total 9000 General Administration</t>
  </si>
  <si>
    <t xml:space="preserve">      Total 9200 White House</t>
  </si>
  <si>
    <t xml:space="preserve">         9260 Security</t>
  </si>
  <si>
    <t xml:space="preserve">         9250 Water</t>
  </si>
  <si>
    <t xml:space="preserve">         9241 Long Term Repair</t>
  </si>
  <si>
    <t xml:space="preserve">         9240 Repairs &amp; maint</t>
  </si>
  <si>
    <t xml:space="preserve">         9230 Insurance</t>
  </si>
  <si>
    <t xml:space="preserve">         9220 Gas</t>
  </si>
  <si>
    <t xml:space="preserve">         9210 Electric</t>
  </si>
  <si>
    <t xml:space="preserve">      9200 White House</t>
  </si>
  <si>
    <t xml:space="preserve">      Total 9120 Truck</t>
  </si>
  <si>
    <t xml:space="preserve">         9126 Taxes</t>
  </si>
  <si>
    <t xml:space="preserve">         9124 Maintenance</t>
  </si>
  <si>
    <t xml:space="preserve">         9122 Insurance</t>
  </si>
  <si>
    <t xml:space="preserve">         9121 Gas</t>
  </si>
  <si>
    <t xml:space="preserve">      9120 Truck</t>
  </si>
  <si>
    <t xml:space="preserve">      9110 Supplies</t>
  </si>
  <si>
    <t xml:space="preserve">      Total 9080 Professional Services</t>
  </si>
  <si>
    <t xml:space="preserve">         9084 Professional Services-Other</t>
  </si>
  <si>
    <t xml:space="preserve">         9083 Legal</t>
  </si>
  <si>
    <t xml:space="preserve">         9082 Audit</t>
  </si>
  <si>
    <t xml:space="preserve">      9080 Professional Services</t>
  </si>
  <si>
    <t xml:space="preserve">      9070 Printing/Copying</t>
  </si>
  <si>
    <t xml:space="preserve">      9065 Petty Cash</t>
  </si>
  <si>
    <t xml:space="preserve">      9060 Postage</t>
  </si>
  <si>
    <t xml:space="preserve">      9050 Phone</t>
  </si>
  <si>
    <t xml:space="preserve">      9040 Mileage</t>
  </si>
  <si>
    <t xml:space="preserve">      Total 9030 Insurance</t>
  </si>
  <si>
    <t xml:space="preserve">         9038 Workers Compensation</t>
  </si>
  <si>
    <t xml:space="preserve">         9031 Liability Ins.</t>
  </si>
  <si>
    <t xml:space="preserve">      9030 Insurance</t>
  </si>
  <si>
    <t xml:space="preserve">      Total 9020 Technology</t>
  </si>
  <si>
    <t xml:space="preserve">         9022 Tech. Consultant</t>
  </si>
  <si>
    <t xml:space="preserve">         9021 Internet/Email</t>
  </si>
  <si>
    <t xml:space="preserve">      9020 Technology</t>
  </si>
  <si>
    <t xml:space="preserve">      9010 Bank Charges</t>
  </si>
  <si>
    <t xml:space="preserve">      9001 Affiliation Dues</t>
  </si>
  <si>
    <t xml:space="preserve">   9000 General Administration</t>
  </si>
  <si>
    <t xml:space="preserve">   8900 Eno Calendars</t>
  </si>
  <si>
    <t xml:space="preserve">   8853 Land Protection Computer Software</t>
  </si>
  <si>
    <t xml:space="preserve">   Total 8800 Land &amp; Stewardship</t>
  </si>
  <si>
    <t xml:space="preserve">      8850 Affiliation Dues</t>
  </si>
  <si>
    <t xml:space="preserve">      Total 8840 Personnel</t>
  </si>
  <si>
    <t xml:space="preserve">         Total 8849 Community Partners Manager</t>
  </si>
  <si>
    <t xml:space="preserve">            88493 Community Partners Manager - Insurance</t>
  </si>
  <si>
    <t xml:space="preserve">            88492 Community Partners Manager - Retirement</t>
  </si>
  <si>
    <t xml:space="preserve">            88491 Community Partners Manger - Tax</t>
  </si>
  <si>
    <t xml:space="preserve">         8849 Community Partners Manager</t>
  </si>
  <si>
    <t xml:space="preserve">         88473 Health Insurance-Stew Manager</t>
  </si>
  <si>
    <t xml:space="preserve">         88472 Payroll Taxes-Stew Manager</t>
  </si>
  <si>
    <t xml:space="preserve">         88471 Retirement-Stew Retirement</t>
  </si>
  <si>
    <t xml:space="preserve">         8847 Salary-Stewardship Manager</t>
  </si>
  <si>
    <t xml:space="preserve">         Total 8845 Salary-Stewardship Associate</t>
  </si>
  <si>
    <t xml:space="preserve">            88452 Stewardship Assoc-Retirement</t>
  </si>
  <si>
    <t xml:space="preserve">            88451 Stewardship Assoc-Payroll Taxes</t>
  </si>
  <si>
    <t xml:space="preserve">         8845 Salary-Stewardship Associate</t>
  </si>
  <si>
    <t xml:space="preserve">         8844 Health Insurance</t>
  </si>
  <si>
    <t xml:space="preserve">         8843 Payroll Taxes</t>
  </si>
  <si>
    <t xml:space="preserve">         8842 Retirement</t>
  </si>
  <si>
    <t xml:space="preserve">         8841 Salary-Conservation Director</t>
  </si>
  <si>
    <t xml:space="preserve">      8840 Personnel</t>
  </si>
  <si>
    <t xml:space="preserve">      Total 8830 Stewardship Costs</t>
  </si>
  <si>
    <t xml:space="preserve">         8839 Stewardship Other</t>
  </si>
  <si>
    <t xml:space="preserve">         8838 Utilities</t>
  </si>
  <si>
    <t xml:space="preserve">         8835 Conservation Defense Insurance</t>
  </si>
  <si>
    <t xml:space="preserve">         8832 Equipment &amp; Supplies</t>
  </si>
  <si>
    <t xml:space="preserve">         8831 Workday Supplies</t>
  </si>
  <si>
    <t xml:space="preserve">      8830 Stewardship Costs</t>
  </si>
  <si>
    <t xml:space="preserve">      Total 8810 Land Acquisition Costs</t>
  </si>
  <si>
    <t xml:space="preserve">         8813 Closing Costs</t>
  </si>
  <si>
    <t xml:space="preserve">         8811 Field Related Costs</t>
  </si>
  <si>
    <t xml:space="preserve">      8810 Land Acquisition Costs</t>
  </si>
  <si>
    <t xml:space="preserve">      8805 Land Protection Consultant</t>
  </si>
  <si>
    <t xml:space="preserve">      8802 Land protection</t>
  </si>
  <si>
    <t xml:space="preserve">   8800 Land &amp; Stewardship</t>
  </si>
  <si>
    <t xml:space="preserve">   Total 8700 Outreach &amp; Communication</t>
  </si>
  <si>
    <t xml:space="preserve">      Total 8795 Personnel</t>
  </si>
  <si>
    <t xml:space="preserve">         8798 Payroll Taxes</t>
  </si>
  <si>
    <t xml:space="preserve">      8795 Personnel</t>
  </si>
  <si>
    <t xml:space="preserve">      Total 8780 Membership Events</t>
  </si>
  <si>
    <t xml:space="preserve">         8784 New Years Hike</t>
  </si>
  <si>
    <t xml:space="preserve">         8782 Annual Meeting</t>
  </si>
  <si>
    <t xml:space="preserve">      8780 Membership Events</t>
  </si>
  <si>
    <t xml:space="preserve">      Total 8770 Educational Events</t>
  </si>
  <si>
    <t xml:space="preserve">         8772 Event Booth Fees</t>
  </si>
  <si>
    <t xml:space="preserve">      8770 Educational Events</t>
  </si>
  <si>
    <t xml:space="preserve">      Total 8760 Newsletter</t>
  </si>
  <si>
    <t xml:space="preserve">         8766 Production</t>
  </si>
  <si>
    <t xml:space="preserve">      8760 Newsletter</t>
  </si>
  <si>
    <t xml:space="preserve">      8750 Photography/Displays</t>
  </si>
  <si>
    <t xml:space="preserve">      8740 Eno Journals</t>
  </si>
  <si>
    <t xml:space="preserve">      8705 Advertising</t>
  </si>
  <si>
    <t xml:space="preserve">   8700 Outreach &amp; Communication</t>
  </si>
  <si>
    <t xml:space="preserve">   Total 8500 Education</t>
  </si>
  <si>
    <t xml:space="preserve">      Total 8570 Personnel</t>
  </si>
  <si>
    <t xml:space="preserve">         Total 85711 FT Educator Salary</t>
  </si>
  <si>
    <t xml:space="preserve">            85741 Health Insurance-FT Educator</t>
  </si>
  <si>
    <t xml:space="preserve">            85731 Payroll Taxes-FT Educator</t>
  </si>
  <si>
    <t xml:space="preserve">            85721 Retirement-FT Educator</t>
  </si>
  <si>
    <t xml:space="preserve">         85711 FT Educator Salary</t>
  </si>
  <si>
    <t xml:space="preserve">         Total 8571 Education Director Salary</t>
  </si>
  <si>
    <t xml:space="preserve">            8574 Health Insurance</t>
  </si>
  <si>
    <t xml:space="preserve">            8573 Payroll Taxes</t>
  </si>
  <si>
    <t xml:space="preserve">            8572 Retirement</t>
  </si>
  <si>
    <t xml:space="preserve">         8571 Education Director Salary</t>
  </si>
  <si>
    <t xml:space="preserve">      8570 Personnel</t>
  </si>
  <si>
    <t xml:space="preserve">      8569 Education Other</t>
  </si>
  <si>
    <t xml:space="preserve">      8521 Printing/Copying</t>
  </si>
  <si>
    <t xml:space="preserve">      8520 Supplies &amp; Materials</t>
  </si>
  <si>
    <t xml:space="preserve">      Total 8518 Eno Field Station Academy</t>
  </si>
  <si>
    <t xml:space="preserve">         85188 EFS Printing/Outreach/Advertisi</t>
  </si>
  <si>
    <t xml:space="preserve">         85187 EFS Transportation</t>
  </si>
  <si>
    <t xml:space="preserve">         85186 EFS Food</t>
  </si>
  <si>
    <t xml:space="preserve">         85185 EFS Rentals</t>
  </si>
  <si>
    <t xml:space="preserve">         85184 EFS Student Equipment/Supplies</t>
  </si>
  <si>
    <t xml:space="preserve">         85183 EFS Program Equipment/Supllies</t>
  </si>
  <si>
    <t xml:space="preserve">         851823 EFS Contract Services/Stipends</t>
  </si>
  <si>
    <t xml:space="preserve">         851822 EFS Teacher/Mentor Payroll Tax</t>
  </si>
  <si>
    <t xml:space="preserve">         85182 EFS Teacher/Mentor/Inter Salary</t>
  </si>
  <si>
    <t xml:space="preserve">         85181 EFS Insurance</t>
  </si>
  <si>
    <t xml:space="preserve">      8518 Eno Field Station Academy</t>
  </si>
  <si>
    <t xml:space="preserve">      Total 8515 iWalk the Eno Expense</t>
  </si>
  <si>
    <t xml:space="preserve">         851591 iWalk Processing Fees</t>
  </si>
  <si>
    <t xml:space="preserve">         85158 iWalk Printing/Outreach/Adverti</t>
  </si>
  <si>
    <t xml:space="preserve">         85157 iWalk Transportation</t>
  </si>
  <si>
    <t xml:space="preserve">         85156 iWalk Food</t>
  </si>
  <si>
    <t xml:space="preserve">         851552 iWalk Rentals</t>
  </si>
  <si>
    <t xml:space="preserve">         85154 iWalk Student Equipment/Supplie</t>
  </si>
  <si>
    <t xml:space="preserve">         85153 iWalk Program Equipment/Supplie</t>
  </si>
  <si>
    <t xml:space="preserve">         851522 iWalk Teacher/Mentor Payroll Ta</t>
  </si>
  <si>
    <t xml:space="preserve">         85152 iWalk Teacher/Mentor Salary</t>
  </si>
  <si>
    <t xml:space="preserve">         85151 iWalk Camp Insurance</t>
  </si>
  <si>
    <t xml:space="preserve">      8515 iWalk the Eno Expense</t>
  </si>
  <si>
    <t xml:space="preserve">   8500 Education</t>
  </si>
  <si>
    <t xml:space="preserve">   Total 8100 Festival for the Eno</t>
  </si>
  <si>
    <t xml:space="preserve">      Total 8339 Personnel</t>
  </si>
  <si>
    <t xml:space="preserve">         8348 Retirement</t>
  </si>
  <si>
    <t xml:space="preserve">         8346 Payroll Taxes</t>
  </si>
  <si>
    <t xml:space="preserve">         Total 8345 Part-Time Staff</t>
  </si>
  <si>
    <t xml:space="preserve">            83451 Part-time staff-Payroll taxes</t>
  </si>
  <si>
    <t xml:space="preserve">         8345 Part-Time Staff</t>
  </si>
  <si>
    <t xml:space="preserve">         8341 Health Ins</t>
  </si>
  <si>
    <t xml:space="preserve">         8340 Salary</t>
  </si>
  <si>
    <t xml:space="preserve">      8339 Personnel</t>
  </si>
  <si>
    <t xml:space="preserve">      8320 T-shirts</t>
  </si>
  <si>
    <t xml:space="preserve">      8310 Supplies &amp; Materials</t>
  </si>
  <si>
    <t xml:space="preserve">      8300 Sound &amp; Technical</t>
  </si>
  <si>
    <t xml:space="preserve">      8295 Craft Artist Prizes</t>
  </si>
  <si>
    <t xml:space="preserve">      8293 Donor and Sponsor Expense</t>
  </si>
  <si>
    <t xml:space="preserve">      Total 8280 Site Preparation</t>
  </si>
  <si>
    <t xml:space="preserve">         8288 Workday food</t>
  </si>
  <si>
    <t xml:space="preserve">         8287 Towing</t>
  </si>
  <si>
    <t xml:space="preserve">         8286 Renovations</t>
  </si>
  <si>
    <t xml:space="preserve">         8285 Rental</t>
  </si>
  <si>
    <t xml:space="preserve">         8284 Clay</t>
  </si>
  <si>
    <t xml:space="preserve">         8283 Labor</t>
  </si>
  <si>
    <t xml:space="preserve">         8282 Electrical</t>
  </si>
  <si>
    <t xml:space="preserve">         8281 Recycling</t>
  </si>
  <si>
    <t xml:space="preserve">      8280 Site Preparation</t>
  </si>
  <si>
    <t xml:space="preserve">      8260 Safety Services</t>
  </si>
  <si>
    <t xml:space="preserve">      Total 8250 Publicity</t>
  </si>
  <si>
    <t xml:space="preserve">         8253 Marketing Contracting</t>
  </si>
  <si>
    <t xml:space="preserve">         8252 Advertising</t>
  </si>
  <si>
    <t xml:space="preserve">      8250 Publicity</t>
  </si>
  <si>
    <t xml:space="preserve">      Total 8240 Printing</t>
  </si>
  <si>
    <t xml:space="preserve">         8248 Publicity Poster</t>
  </si>
  <si>
    <t xml:space="preserve">         8246 copying</t>
  </si>
  <si>
    <t xml:space="preserve">         8242 Badges, Adv. Tix</t>
  </si>
  <si>
    <t xml:space="preserve">      8240 Printing</t>
  </si>
  <si>
    <t xml:space="preserve">      8230 Postage</t>
  </si>
  <si>
    <t xml:space="preserve">      8220 Phone</t>
  </si>
  <si>
    <t xml:space="preserve">      Total 8210 Seasonal Employees</t>
  </si>
  <si>
    <t xml:space="preserve">         8216 Payroll Taxes</t>
  </si>
  <si>
    <t xml:space="preserve">         8212 Fest Volunteer Coord.</t>
  </si>
  <si>
    <t xml:space="preserve">         8211 Asst. Fest Coord.</t>
  </si>
  <si>
    <t xml:space="preserve">      8210 Seasonal Employees</t>
  </si>
  <si>
    <t xml:space="preserve">      8205 Licenses &amp; Fees</t>
  </si>
  <si>
    <t xml:space="preserve">      8200 Miscellaneous</t>
  </si>
  <si>
    <t xml:space="preserve">      8190 Mileage</t>
  </si>
  <si>
    <t xml:space="preserve">      8180 Insurance</t>
  </si>
  <si>
    <t xml:space="preserve">      Total 8160 Hospitality</t>
  </si>
  <si>
    <t xml:space="preserve">         8166 Performer Riders</t>
  </si>
  <si>
    <t xml:space="preserve">         8164 Performer Food</t>
  </si>
  <si>
    <t xml:space="preserve">      8160 Hospitality</t>
  </si>
  <si>
    <t xml:space="preserve">      Total 8150 Entertainment</t>
  </si>
  <si>
    <t xml:space="preserve">         8158 Stage Managers</t>
  </si>
  <si>
    <t xml:space="preserve">         8151 Entertainment-General</t>
  </si>
  <si>
    <t xml:space="preserve">      8150 Entertainment</t>
  </si>
  <si>
    <t xml:space="preserve">      Total 8140 Drinks</t>
  </si>
  <si>
    <t xml:space="preserve">         8145 Beer expense</t>
  </si>
  <si>
    <t xml:space="preserve">         8144 Drink Product</t>
  </si>
  <si>
    <t xml:space="preserve">         8142 Cups</t>
  </si>
  <si>
    <t xml:space="preserve">      8140 Drinks</t>
  </si>
  <si>
    <t xml:space="preserve">      Total 8130 Documentation</t>
  </si>
  <si>
    <t xml:space="preserve">         8134 Video &amp; Film</t>
  </si>
  <si>
    <t xml:space="preserve">      8130 Documentation</t>
  </si>
  <si>
    <t xml:space="preserve">      8120 Buses</t>
  </si>
  <si>
    <t xml:space="preserve">      Total 8110 Art</t>
  </si>
  <si>
    <t xml:space="preserve">         8115 Artist Fees-Pub Poster</t>
  </si>
  <si>
    <t xml:space="preserve">      8110 Art</t>
  </si>
  <si>
    <t xml:space="preserve">      8105 Festival Seed Money</t>
  </si>
  <si>
    <t xml:space="preserve">   8100 Festival for the Eno</t>
  </si>
  <si>
    <t xml:space="preserve">   Total 7000 Rental Property Expense</t>
  </si>
  <si>
    <t xml:space="preserve">      7385 Administrative</t>
  </si>
  <si>
    <t xml:space="preserve">      7370 General Repair</t>
  </si>
  <si>
    <t xml:space="preserve">      7350 Plumbing</t>
  </si>
  <si>
    <t xml:space="preserve">      7140 Utilities</t>
  </si>
  <si>
    <t xml:space="preserve">      7130 Water</t>
  </si>
  <si>
    <t xml:space="preserve">      Total 7120 Taxes</t>
  </si>
  <si>
    <t xml:space="preserve">         7126 1700 Open Air Camp</t>
  </si>
  <si>
    <t xml:space="preserve">         7125 1602 Open Air Camp</t>
  </si>
  <si>
    <t xml:space="preserve">      7120 Taxes</t>
  </si>
  <si>
    <t xml:space="preserve">      7110 Insurance</t>
  </si>
  <si>
    <t xml:space="preserve">      7100 Depreciation Expense</t>
  </si>
  <si>
    <t xml:space="preserve">   7000 Rental Property Expense</t>
  </si>
  <si>
    <t xml:space="preserve">   Total 6030 Finance &amp; Operations Mgr</t>
  </si>
  <si>
    <t xml:space="preserve">      6033 Fin &amp; Opns-Health Insurance</t>
  </si>
  <si>
    <t xml:space="preserve">      6032 Fin &amp; Opns-Taxes</t>
  </si>
  <si>
    <t xml:space="preserve">      6031 Fin &amp; Opns-Retirement</t>
  </si>
  <si>
    <t xml:space="preserve">   6030 Finance &amp; Operations Mgr</t>
  </si>
  <si>
    <t xml:space="preserve">   Total 6010 Executive Director</t>
  </si>
  <si>
    <t xml:space="preserve">      6013 Exec Dir 6013 - Health Insuranc</t>
  </si>
  <si>
    <t xml:space="preserve">      6012 Exc Dir 6012- Retirement</t>
  </si>
  <si>
    <t xml:space="preserve">      6011 Exe Dir-6011  Payroll Taxes</t>
  </si>
  <si>
    <t xml:space="preserve">   6010 Executive Director</t>
  </si>
  <si>
    <t xml:space="preserve">   Total 6000 Personnel</t>
  </si>
  <si>
    <t xml:space="preserve">      6090 Board Development</t>
  </si>
  <si>
    <t xml:space="preserve">      6080 Staff Development</t>
  </si>
  <si>
    <t xml:space="preserve">      6070 Health/Dental Insurance</t>
  </si>
  <si>
    <t xml:space="preserve">      6050 Retirement</t>
  </si>
  <si>
    <t xml:space="preserve">      6020 AmeriCoprs Member</t>
  </si>
  <si>
    <t xml:space="preserve">   6000 Personnel</t>
  </si>
  <si>
    <t xml:space="preserve">   Total 5000 All Personnel</t>
  </si>
  <si>
    <t xml:space="preserve">      5006 Staff Development &amp; Training</t>
  </si>
  <si>
    <t xml:space="preserve">   5000 All Personnel</t>
  </si>
  <si>
    <t>Expenses</t>
  </si>
  <si>
    <t>Gross Profit</t>
  </si>
  <si>
    <t>Total Income</t>
  </si>
  <si>
    <t xml:space="preserve">   4955 Gain (Loss) on Sale of Property</t>
  </si>
  <si>
    <t xml:space="preserve">   4952 Unrealized Gains/Losses</t>
  </si>
  <si>
    <t xml:space="preserve">   4950 Gain (Loss) on Sale of Invest</t>
  </si>
  <si>
    <t xml:space="preserve">   Total 4900 Investment Income</t>
  </si>
  <si>
    <t xml:space="preserve">      4910 Interest Income</t>
  </si>
  <si>
    <t xml:space="preserve">   4900 Investment Income</t>
  </si>
  <si>
    <t xml:space="preserve">   Total 4800 Education Income</t>
  </si>
  <si>
    <t xml:space="preserve">      4820 Grants</t>
  </si>
  <si>
    <t xml:space="preserve">      4812 EFS Program Income</t>
  </si>
  <si>
    <t xml:space="preserve">      4810 iWalk Program</t>
  </si>
  <si>
    <t xml:space="preserve">      4809 Program - Other</t>
  </si>
  <si>
    <t xml:space="preserve">   4800 Education Income</t>
  </si>
  <si>
    <t xml:space="preserve">   4660 Grants - Other</t>
  </si>
  <si>
    <t xml:space="preserve">   4650 Misc Income</t>
  </si>
  <si>
    <t xml:space="preserve">   Total 4400 Land and Stewardship</t>
  </si>
  <si>
    <t xml:space="preserve">      Total 4480 Stewardship</t>
  </si>
  <si>
    <t xml:space="preserve">         4489 Stewardship Other</t>
  </si>
  <si>
    <t xml:space="preserve">         4483 Stewardship Fund Income</t>
  </si>
  <si>
    <t xml:space="preserve">         4481 Clean Water</t>
  </si>
  <si>
    <t xml:space="preserve">      4480 Stewardship</t>
  </si>
  <si>
    <t xml:space="preserve">      Total 4470 Acquisition Cost Reimbursement</t>
  </si>
  <si>
    <t xml:space="preserve">         4479 Acquisition Other</t>
  </si>
  <si>
    <t xml:space="preserve">         4471 Upper Neuse</t>
  </si>
  <si>
    <t xml:space="preserve">      4470 Acquisition Cost Reimbursement</t>
  </si>
  <si>
    <t xml:space="preserve">      Total 4460 Outreach</t>
  </si>
  <si>
    <t xml:space="preserve">         4461 Upper Neuse</t>
  </si>
  <si>
    <t xml:space="preserve">      4460 Outreach</t>
  </si>
  <si>
    <t xml:space="preserve">      4450 Grant Income - Other</t>
  </si>
  <si>
    <t xml:space="preserve">   4400 Land and Stewardship</t>
  </si>
  <si>
    <t xml:space="preserve">   4300 Rental Income</t>
  </si>
  <si>
    <t xml:space="preserve">   Total 4200 Festival Income</t>
  </si>
  <si>
    <t xml:space="preserve">      4280 Festival Grants</t>
  </si>
  <si>
    <t xml:space="preserve">      Total 4270 Fest Donations- Corporate</t>
  </si>
  <si>
    <t xml:space="preserve">         4275 Sponsorships</t>
  </si>
  <si>
    <t xml:space="preserve">      4270 Fest Donations- Corporate</t>
  </si>
  <si>
    <t xml:space="preserve">      4260 Fest Donations-Individuals</t>
  </si>
  <si>
    <t xml:space="preserve">      Total 4250 Merchandise/Food</t>
  </si>
  <si>
    <t xml:space="preserve">         49595 Clay</t>
  </si>
  <si>
    <t xml:space="preserve">         42594 Facepaint</t>
  </si>
  <si>
    <t xml:space="preserve">         42572 Beer</t>
  </si>
  <si>
    <t xml:space="preserve">         4257 Drinks</t>
  </si>
  <si>
    <t xml:space="preserve">         4252 Posters</t>
  </si>
  <si>
    <t xml:space="preserve">         4251 T-shirts</t>
  </si>
  <si>
    <t xml:space="preserve">      4250 Merchandise/Food</t>
  </si>
  <si>
    <t xml:space="preserve">      Total 4240 Booth Fees</t>
  </si>
  <si>
    <t xml:space="preserve">         4243 Non-Profit Booth Fees</t>
  </si>
  <si>
    <t xml:space="preserve">         4242 Food Booth Fees</t>
  </si>
  <si>
    <t xml:space="preserve">         4241 Craft Booth Fees</t>
  </si>
  <si>
    <t xml:space="preserve">      4240 Booth Fees</t>
  </si>
  <si>
    <t xml:space="preserve">      4230 Eno Raffle Ticket Sales</t>
  </si>
  <si>
    <t xml:space="preserve">      Total 4220 Festival Ticket Sales</t>
  </si>
  <si>
    <t xml:space="preserve">         4222 At Door Ticket Sales</t>
  </si>
  <si>
    <t xml:space="preserve">         4221 Advanced Ticket Sales</t>
  </si>
  <si>
    <t xml:space="preserve">      4220 Festival Ticket Sales</t>
  </si>
  <si>
    <t xml:space="preserve">   4200 Festival Income</t>
  </si>
  <si>
    <t xml:space="preserve">   Total 4100 Sales</t>
  </si>
  <si>
    <t xml:space="preserve">      4109 Other</t>
  </si>
  <si>
    <t xml:space="preserve">      4105 Journals</t>
  </si>
  <si>
    <t xml:space="preserve">      Total 4101 Calendar</t>
  </si>
  <si>
    <t xml:space="preserve">         41012 Retail Sales</t>
  </si>
  <si>
    <t xml:space="preserve">         41011 Direct Sales</t>
  </si>
  <si>
    <t xml:space="preserve">      4101 Calendar</t>
  </si>
  <si>
    <t xml:space="preserve">   4100 Sales</t>
  </si>
  <si>
    <t xml:space="preserve">   Total 4010 Contributions &amp; Grants</t>
  </si>
  <si>
    <t xml:space="preserve">      4020 Confluence Fund</t>
  </si>
  <si>
    <t xml:space="preserve">      40132 MNF Offset</t>
  </si>
  <si>
    <t xml:space="preserve">      4013 MNF</t>
  </si>
  <si>
    <t xml:space="preserve">      4012 Corporate&amp; Foundations</t>
  </si>
  <si>
    <t xml:space="preserve">      4011 Individual</t>
  </si>
  <si>
    <t xml:space="preserve">   4010 Contributions &amp; Grants</t>
  </si>
  <si>
    <t xml:space="preserve">   4009 In Kind--Accounting Services</t>
  </si>
  <si>
    <t xml:space="preserve">   4007 In-Kind-Goods/Property</t>
  </si>
  <si>
    <t xml:space="preserve">   4000 Membership</t>
  </si>
  <si>
    <t>Income</t>
  </si>
  <si>
    <t>Total</t>
  </si>
  <si>
    <t>January - December 2024</t>
  </si>
  <si>
    <t>Profit and Loss</t>
  </si>
  <si>
    <t>ASSOC. FOR THE PRESERVATION OF THE ENO RIVER VALLE</t>
  </si>
  <si>
    <t>Development</t>
  </si>
  <si>
    <t>Administration</t>
  </si>
  <si>
    <t>Cost of Merchandise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</si>
</sst>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\ _€"/>
    <numFmt numFmtId="166" formatCode="&quot;$&quot;* #,##0.00\ _€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4">
    <xf numFmtId="0" fontId="0" fillId="0" borderId="0" xfId="0"/>
    <xf numFmtId="164" fontId="0" fillId="0" borderId="0" xfId="1" applyNumberFormat="1" applyFont="1"/>
    <xf numFmtId="0" fontId="3" fillId="0" borderId="0" xfId="2"/>
    <xf numFmtId="165" fontId="4" fillId="0" borderId="0" xfId="2" applyNumberFormat="1" applyFont="1" applyAlignment="1">
      <alignment wrapText="1"/>
    </xf>
    <xf numFmtId="0" fontId="5" fillId="0" borderId="0" xfId="2" applyFont="1" applyAlignment="1">
      <alignment horizontal="left" wrapText="1"/>
    </xf>
    <xf numFmtId="166" fontId="5" fillId="0" borderId="1" xfId="2" applyNumberFormat="1" applyFont="1" applyBorder="1" applyAlignment="1">
      <alignment horizontal="right" wrapText="1"/>
    </xf>
    <xf numFmtId="165" fontId="4" fillId="0" borderId="0" xfId="2" applyNumberFormat="1" applyFont="1" applyAlignment="1">
      <alignment horizontal="right" wrapText="1"/>
    </xf>
    <xf numFmtId="0" fontId="6" fillId="0" borderId="2" xfId="2" applyFont="1" applyBorder="1" applyAlignment="1">
      <alignment horizontal="center" wrapText="1"/>
    </xf>
    <xf numFmtId="0" fontId="3" fillId="0" borderId="0" xfId="2" applyAlignment="1">
      <alignment wrapText="1"/>
    </xf>
    <xf numFmtId="164" fontId="2" fillId="0" borderId="0" xfId="1" applyNumberFormat="1" applyFont="1"/>
    <xf numFmtId="0" fontId="4" fillId="0" borderId="0" xfId="2" applyFont="1" applyAlignment="1">
      <alignment horizontal="center"/>
    </xf>
    <xf numFmtId="0" fontId="3" fillId="0" borderId="0" xfId="2"/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</cellXfs>
  <cellStyles count="3">
    <cellStyle name="Comma" xfId="1" builtinId="3"/>
    <cellStyle name="Normal" xfId="0" builtinId="0"/>
    <cellStyle name="Normal 2" xfId="2" xr:uid="{BAD5263E-76A9-4726-9D70-D0FC4D6831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2024 Income</a:t>
            </a:r>
            <a:r>
              <a:rPr lang="en-US" b="1" baseline="0"/>
              <a:t> Sources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465-4C78-9196-DB6A1475E74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465-4C78-9196-DB6A1475E74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465-4C78-9196-DB6A1475E74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465-4C78-9196-DB6A1475E744}"/>
              </c:ext>
            </c:extLst>
          </c:dPt>
          <c:cat>
            <c:strRef>
              <c:f>Charts!$A$1:$A$4</c:f>
              <c:strCache>
                <c:ptCount val="4"/>
                <c:pt idx="0">
                  <c:v>Grants and Contributions</c:v>
                </c:pt>
                <c:pt idx="1">
                  <c:v>Programs</c:v>
                </c:pt>
                <c:pt idx="2">
                  <c:v>Investment Income</c:v>
                </c:pt>
                <c:pt idx="3">
                  <c:v>Merchandise</c:v>
                </c:pt>
              </c:strCache>
            </c:strRef>
          </c:cat>
          <c:val>
            <c:numRef>
              <c:f>Charts!$B$1:$B$4</c:f>
              <c:numCache>
                <c:formatCode>_(* #,##0_);_(* \(#,##0\);_(* "-"??_);_(@_)</c:formatCode>
                <c:ptCount val="4"/>
                <c:pt idx="0">
                  <c:v>2124078.63</c:v>
                </c:pt>
                <c:pt idx="1">
                  <c:v>237353.19</c:v>
                </c:pt>
                <c:pt idx="2">
                  <c:v>173097.17</c:v>
                </c:pt>
                <c:pt idx="3">
                  <c:v>116323.29999999999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EB-4A8C-9CDC-298324D72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454965004374453"/>
          <c:y val="0.27538838050649073"/>
          <c:w val="0.30433923884514436"/>
          <c:h val="0.304056182166418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2024 Expenses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BE3-4963-AF23-4818404EDA0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BE3-4963-AF23-4818404EDA0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BE3-4963-AF23-4818404EDA0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BE3-4963-AF23-4818404EDA0D}"/>
              </c:ext>
            </c:extLst>
          </c:dPt>
          <c:cat>
            <c:strRef>
              <c:f>Charts!$A$10:$A$13</c:f>
              <c:strCache>
                <c:ptCount val="4"/>
                <c:pt idx="0">
                  <c:v>Programs</c:v>
                </c:pt>
                <c:pt idx="1">
                  <c:v>Administration</c:v>
                </c:pt>
                <c:pt idx="2">
                  <c:v>Development</c:v>
                </c:pt>
                <c:pt idx="3">
                  <c:v>Cost of Merchandise</c:v>
                </c:pt>
              </c:strCache>
            </c:strRef>
          </c:cat>
          <c:val>
            <c:numRef>
              <c:f>Charts!$B$10:$B$13</c:f>
              <c:numCache>
                <c:formatCode>_(* #,##0_);_(* \(#,##0\);_(* "-"??_);_(@_)</c:formatCode>
                <c:ptCount val="4"/>
                <c:pt idx="0">
                  <c:v>1997647.94</c:v>
                </c:pt>
                <c:pt idx="1">
                  <c:v>336579.55000000005</c:v>
                </c:pt>
                <c:pt idx="2">
                  <c:v>158935.43000000002</c:v>
                </c:pt>
                <c:pt idx="3">
                  <c:v>53763.48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56-45D3-9C0C-733634F68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603587051618551"/>
          <c:y val="0.30692002041411492"/>
          <c:w val="0.25618635170603676"/>
          <c:h val="0.312502187226596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180975</xdr:rowOff>
    </xdr:from>
    <xdr:to>
      <xdr:col>11</xdr:col>
      <xdr:colOff>304800</xdr:colOff>
      <xdr:row>15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5F65DD-99C8-3575-CF79-EDC8152937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600075</xdr:colOff>
      <xdr:row>17</xdr:row>
      <xdr:rowOff>19050</xdr:rowOff>
    </xdr:from>
    <xdr:to>
      <xdr:col>11</xdr:col>
      <xdr:colOff>295275</xdr:colOff>
      <xdr:row>31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B1F9E98-1ABF-C31D-F3F9-309BB8737A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DC6A9-8079-496C-B693-1E0AD3CB014C}">
  <dimension ref="A1:Q352"/>
  <sheetViews>
    <sheetView tabSelected="1" topLeftCell="E1" workbookViewId="0">
      <selection activeCell="B20" sqref="B20"/>
    </sheetView>
  </sheetViews>
  <sheetFormatPr defaultRowHeight="14.25" x14ac:dyDescent="0.45"/>
  <cols>
    <col min="1" max="1" width="23.59765625" bestFit="1" customWidth="1"/>
    <col min="2" max="2" width="18.73046875" style="1" customWidth="1"/>
    <col min="16" max="16" width="49.86328125" style="2" customWidth="1"/>
    <col min="17" max="17" width="43.86328125" style="2" customWidth="1"/>
  </cols>
  <sheetData>
    <row r="1" spans="1:17" ht="17.649999999999999" x14ac:dyDescent="0.5">
      <c r="A1" t="s">
        <v>0</v>
      </c>
      <c r="B1" s="1">
        <f>Charts!Q7+Charts!Q8+Charts!Q9+Charts!Q16+Charts!Q44+Charts!Q47+Charts!Q48+Charts!Q52+Charts!Q54+Charts!Q59+Charts!Q64+Charts!Q67+Charts!Q72</f>
        <v>2124078.63</v>
      </c>
      <c r="P1" s="12" t="s">
        <v>351</v>
      </c>
      <c r="Q1" s="11"/>
    </row>
    <row r="2" spans="1:17" ht="17.649999999999999" x14ac:dyDescent="0.5">
      <c r="A2" t="s">
        <v>1</v>
      </c>
      <c r="B2" s="1">
        <f>+Charts!Q29+Charts!Q30+Charts!Q35+Charts!Q50+Charts!Q69+Charts!Q70+Charts!Q71</f>
        <v>237353.19</v>
      </c>
      <c r="P2" s="12" t="s">
        <v>350</v>
      </c>
      <c r="Q2" s="11"/>
    </row>
    <row r="3" spans="1:17" x14ac:dyDescent="0.45">
      <c r="A3" t="s">
        <v>3</v>
      </c>
      <c r="B3" s="1">
        <f>+Charts!Q76+Charts!Q77+Charts!Q78+Charts!Q79</f>
        <v>173097.17</v>
      </c>
      <c r="P3" s="13" t="s">
        <v>349</v>
      </c>
      <c r="Q3" s="11"/>
    </row>
    <row r="4" spans="1:17" x14ac:dyDescent="0.45">
      <c r="A4" t="s">
        <v>2</v>
      </c>
      <c r="B4" s="1">
        <f>+Charts!Q24+Charts!Q43</f>
        <v>116323.29999999999</v>
      </c>
    </row>
    <row r="5" spans="1:17" x14ac:dyDescent="0.45">
      <c r="B5" s="9">
        <f>SUM(B1:B4)</f>
        <v>2650852.2899999996</v>
      </c>
      <c r="P5" s="8"/>
      <c r="Q5" s="7" t="s">
        <v>348</v>
      </c>
    </row>
    <row r="6" spans="1:17" x14ac:dyDescent="0.45">
      <c r="P6" s="4" t="s">
        <v>347</v>
      </c>
      <c r="Q6" s="3"/>
    </row>
    <row r="7" spans="1:17" x14ac:dyDescent="0.45">
      <c r="P7" s="4" t="s">
        <v>346</v>
      </c>
      <c r="Q7" s="6">
        <f>55467.21</f>
        <v>55467.21</v>
      </c>
    </row>
    <row r="8" spans="1:17" x14ac:dyDescent="0.45">
      <c r="P8" s="4" t="s">
        <v>345</v>
      </c>
      <c r="Q8" s="6">
        <f>198.76</f>
        <v>198.76</v>
      </c>
    </row>
    <row r="9" spans="1:17" x14ac:dyDescent="0.45">
      <c r="P9" s="4" t="s">
        <v>344</v>
      </c>
      <c r="Q9" s="6">
        <f>250</f>
        <v>250</v>
      </c>
    </row>
    <row r="10" spans="1:17" x14ac:dyDescent="0.45">
      <c r="A10" t="s">
        <v>1</v>
      </c>
      <c r="B10" s="1">
        <f>+Q92+Q183-Q129-Q173+Q224+Q242+Q277+Q278</f>
        <v>1997647.94</v>
      </c>
      <c r="P10" s="4" t="s">
        <v>343</v>
      </c>
      <c r="Q10" s="3"/>
    </row>
    <row r="11" spans="1:17" x14ac:dyDescent="0.45">
      <c r="A11" t="s">
        <v>353</v>
      </c>
      <c r="B11" s="1">
        <f>+Q84+Q97+Q102+Q115+Q317+Q339</f>
        <v>336579.55000000005</v>
      </c>
      <c r="P11" s="4" t="s">
        <v>342</v>
      </c>
      <c r="Q11" s="6">
        <f>335884.5</f>
        <v>335884.5</v>
      </c>
    </row>
    <row r="12" spans="1:17" x14ac:dyDescent="0.45">
      <c r="A12" t="s">
        <v>352</v>
      </c>
      <c r="B12" s="1">
        <f>+Q338</f>
        <v>158935.43000000002</v>
      </c>
      <c r="P12" s="4" t="s">
        <v>341</v>
      </c>
      <c r="Q12" s="6">
        <f>11536.65</f>
        <v>11536.65</v>
      </c>
    </row>
    <row r="13" spans="1:17" x14ac:dyDescent="0.45">
      <c r="A13" t="s">
        <v>354</v>
      </c>
      <c r="B13" s="1">
        <f>+Q129+Q173+Q279</f>
        <v>53763.48</v>
      </c>
      <c r="P13" s="4" t="s">
        <v>340</v>
      </c>
      <c r="Q13" s="6">
        <f>304376.5</f>
        <v>304376.5</v>
      </c>
    </row>
    <row r="14" spans="1:17" x14ac:dyDescent="0.45">
      <c r="B14" s="9">
        <f>SUM(B10:B13)</f>
        <v>2546926.4000000004</v>
      </c>
      <c r="P14" s="4" t="s">
        <v>339</v>
      </c>
      <c r="Q14" s="6">
        <f>-84640</f>
        <v>-84640</v>
      </c>
    </row>
    <row r="15" spans="1:17" x14ac:dyDescent="0.45">
      <c r="P15" s="4" t="s">
        <v>338</v>
      </c>
      <c r="Q15" s="6">
        <f>25.75</f>
        <v>25.75</v>
      </c>
    </row>
    <row r="16" spans="1:17" x14ac:dyDescent="0.45">
      <c r="P16" s="4" t="s">
        <v>337</v>
      </c>
      <c r="Q16" s="5">
        <f>(((((Q10)+(Q11))+(Q12))+(Q13))+(Q14))+(Q15)</f>
        <v>567183.4</v>
      </c>
    </row>
    <row r="17" spans="16:17" x14ac:dyDescent="0.45">
      <c r="P17" s="4" t="s">
        <v>336</v>
      </c>
      <c r="Q17" s="3"/>
    </row>
    <row r="18" spans="16:17" x14ac:dyDescent="0.45">
      <c r="P18" s="4" t="s">
        <v>335</v>
      </c>
      <c r="Q18" s="6">
        <f>1613.56</f>
        <v>1613.56</v>
      </c>
    </row>
    <row r="19" spans="16:17" x14ac:dyDescent="0.45">
      <c r="P19" s="4" t="s">
        <v>334</v>
      </c>
      <c r="Q19" s="6">
        <f>723.9</f>
        <v>723.9</v>
      </c>
    </row>
    <row r="20" spans="16:17" x14ac:dyDescent="0.45">
      <c r="P20" s="4" t="s">
        <v>333</v>
      </c>
      <c r="Q20" s="6">
        <f>3653</f>
        <v>3653</v>
      </c>
    </row>
    <row r="21" spans="16:17" x14ac:dyDescent="0.45">
      <c r="P21" s="4" t="s">
        <v>332</v>
      </c>
      <c r="Q21" s="5">
        <f>((Q18)+(Q19))+(Q20)</f>
        <v>5990.46</v>
      </c>
    </row>
    <row r="22" spans="16:17" x14ac:dyDescent="0.45">
      <c r="P22" s="4" t="s">
        <v>331</v>
      </c>
      <c r="Q22" s="6">
        <f>610</f>
        <v>610</v>
      </c>
    </row>
    <row r="23" spans="16:17" x14ac:dyDescent="0.45">
      <c r="P23" s="4" t="s">
        <v>330</v>
      </c>
      <c r="Q23" s="6">
        <f>-57.23</f>
        <v>-57.23</v>
      </c>
    </row>
    <row r="24" spans="16:17" x14ac:dyDescent="0.45">
      <c r="P24" s="4" t="s">
        <v>329</v>
      </c>
      <c r="Q24" s="5">
        <f>(((Q17)+(Q21))+(Q22))+(Q23)</f>
        <v>6543.2300000000005</v>
      </c>
    </row>
    <row r="25" spans="16:17" x14ac:dyDescent="0.45">
      <c r="P25" s="4" t="s">
        <v>328</v>
      </c>
      <c r="Q25" s="6">
        <f>0</f>
        <v>0</v>
      </c>
    </row>
    <row r="26" spans="16:17" x14ac:dyDescent="0.45">
      <c r="P26" s="4" t="s">
        <v>327</v>
      </c>
      <c r="Q26" s="3"/>
    </row>
    <row r="27" spans="16:17" x14ac:dyDescent="0.45">
      <c r="P27" s="4" t="s">
        <v>326</v>
      </c>
      <c r="Q27" s="6">
        <f>9582.96</f>
        <v>9582.9599999999991</v>
      </c>
    </row>
    <row r="28" spans="16:17" x14ac:dyDescent="0.45">
      <c r="P28" s="4" t="s">
        <v>325</v>
      </c>
      <c r="Q28" s="6">
        <f>151299.45</f>
        <v>151299.45000000001</v>
      </c>
    </row>
    <row r="29" spans="16:17" x14ac:dyDescent="0.45">
      <c r="P29" s="4" t="s">
        <v>324</v>
      </c>
      <c r="Q29" s="5">
        <f>((Q26)+(Q27))+(Q28)</f>
        <v>160882.41</v>
      </c>
    </row>
    <row r="30" spans="16:17" x14ac:dyDescent="0.45">
      <c r="P30" s="4" t="s">
        <v>323</v>
      </c>
      <c r="Q30" s="6">
        <f>9714.06</f>
        <v>9714.06</v>
      </c>
    </row>
    <row r="31" spans="16:17" x14ac:dyDescent="0.45">
      <c r="P31" s="4" t="s">
        <v>322</v>
      </c>
      <c r="Q31" s="3"/>
    </row>
    <row r="32" spans="16:17" x14ac:dyDescent="0.45">
      <c r="P32" s="4" t="s">
        <v>321</v>
      </c>
      <c r="Q32" s="6">
        <f>12407.53</f>
        <v>12407.53</v>
      </c>
    </row>
    <row r="33" spans="16:17" x14ac:dyDescent="0.45">
      <c r="P33" s="4" t="s">
        <v>320</v>
      </c>
      <c r="Q33" s="6">
        <f>8475</f>
        <v>8475</v>
      </c>
    </row>
    <row r="34" spans="16:17" x14ac:dyDescent="0.45">
      <c r="P34" s="4" t="s">
        <v>319</v>
      </c>
      <c r="Q34" s="6">
        <f>2240</f>
        <v>2240</v>
      </c>
    </row>
    <row r="35" spans="16:17" x14ac:dyDescent="0.45">
      <c r="P35" s="4" t="s">
        <v>318</v>
      </c>
      <c r="Q35" s="5">
        <f>(((Q31)+(Q32))+(Q33))+(Q34)</f>
        <v>23122.53</v>
      </c>
    </row>
    <row r="36" spans="16:17" x14ac:dyDescent="0.45">
      <c r="P36" s="4" t="s">
        <v>317</v>
      </c>
      <c r="Q36" s="6">
        <f>5650.01</f>
        <v>5650.01</v>
      </c>
    </row>
    <row r="37" spans="16:17" x14ac:dyDescent="0.45">
      <c r="P37" s="4" t="s">
        <v>316</v>
      </c>
      <c r="Q37" s="6">
        <f>75539.78</f>
        <v>75539.78</v>
      </c>
    </row>
    <row r="38" spans="16:17" x14ac:dyDescent="0.45">
      <c r="P38" s="4" t="s">
        <v>315</v>
      </c>
      <c r="Q38" s="6">
        <f>2631</f>
        <v>2631</v>
      </c>
    </row>
    <row r="39" spans="16:17" x14ac:dyDescent="0.45">
      <c r="P39" s="4" t="s">
        <v>314</v>
      </c>
      <c r="Q39" s="6">
        <f>8261.5</f>
        <v>8261.5</v>
      </c>
    </row>
    <row r="40" spans="16:17" x14ac:dyDescent="0.45">
      <c r="P40" s="4" t="s">
        <v>313</v>
      </c>
      <c r="Q40" s="6">
        <f>17396</f>
        <v>17396</v>
      </c>
    </row>
    <row r="41" spans="16:17" x14ac:dyDescent="0.45">
      <c r="P41" s="4" t="s">
        <v>312</v>
      </c>
      <c r="Q41" s="6">
        <f>198.78</f>
        <v>198.78</v>
      </c>
    </row>
    <row r="42" spans="16:17" x14ac:dyDescent="0.45">
      <c r="P42" s="4" t="s">
        <v>311</v>
      </c>
      <c r="Q42" s="6">
        <f>103</f>
        <v>103</v>
      </c>
    </row>
    <row r="43" spans="16:17" x14ac:dyDescent="0.45">
      <c r="P43" s="4" t="s">
        <v>310</v>
      </c>
      <c r="Q43" s="5">
        <f>((((((Q36)+(Q37))+(Q38))+(Q39))+(Q40))+(Q41))+(Q42)</f>
        <v>109780.06999999999</v>
      </c>
    </row>
    <row r="44" spans="16:17" x14ac:dyDescent="0.45">
      <c r="P44" s="4" t="s">
        <v>309</v>
      </c>
      <c r="Q44" s="6">
        <f>4523.95</f>
        <v>4523.95</v>
      </c>
    </row>
    <row r="45" spans="16:17" x14ac:dyDescent="0.45">
      <c r="P45" s="4" t="s">
        <v>308</v>
      </c>
      <c r="Q45" s="3"/>
    </row>
    <row r="46" spans="16:17" x14ac:dyDescent="0.45">
      <c r="P46" s="4" t="s">
        <v>307</v>
      </c>
      <c r="Q46" s="6">
        <f>52094.5</f>
        <v>52094.5</v>
      </c>
    </row>
    <row r="47" spans="16:17" x14ac:dyDescent="0.45">
      <c r="P47" s="4" t="s">
        <v>306</v>
      </c>
      <c r="Q47" s="5">
        <f>(Q45)+(Q46)</f>
        <v>52094.5</v>
      </c>
    </row>
    <row r="48" spans="16:17" x14ac:dyDescent="0.45">
      <c r="P48" s="4" t="s">
        <v>305</v>
      </c>
      <c r="Q48" s="6">
        <f>15000</f>
        <v>15000</v>
      </c>
    </row>
    <row r="49" spans="16:17" x14ac:dyDescent="0.45">
      <c r="P49" s="4" t="s">
        <v>304</v>
      </c>
      <c r="Q49" s="5">
        <f>(((((((Q25)+(Q29))+(Q30))+(Q35))+(Q43))+(Q44))+(Q47))+(Q48)</f>
        <v>375117.52</v>
      </c>
    </row>
    <row r="50" spans="16:17" x14ac:dyDescent="0.45">
      <c r="P50" s="4" t="s">
        <v>303</v>
      </c>
      <c r="Q50" s="6">
        <f>165</f>
        <v>165</v>
      </c>
    </row>
    <row r="51" spans="16:17" x14ac:dyDescent="0.45">
      <c r="P51" s="4" t="s">
        <v>302</v>
      </c>
      <c r="Q51" s="3"/>
    </row>
    <row r="52" spans="16:17" x14ac:dyDescent="0.45">
      <c r="P52" s="4" t="s">
        <v>301</v>
      </c>
      <c r="Q52" s="6">
        <f>1086971.1</f>
        <v>1086971.1000000001</v>
      </c>
    </row>
    <row r="53" spans="16:17" x14ac:dyDescent="0.45">
      <c r="P53" s="4" t="s">
        <v>300</v>
      </c>
      <c r="Q53" s="3"/>
    </row>
    <row r="54" spans="16:17" x14ac:dyDescent="0.45">
      <c r="P54" s="4" t="s">
        <v>299</v>
      </c>
      <c r="Q54" s="6">
        <f>35928.76</f>
        <v>35928.76</v>
      </c>
    </row>
    <row r="55" spans="16:17" x14ac:dyDescent="0.45">
      <c r="P55" s="4" t="s">
        <v>298</v>
      </c>
      <c r="Q55" s="5">
        <f>(Q53)+(Q54)</f>
        <v>35928.76</v>
      </c>
    </row>
    <row r="56" spans="16:17" x14ac:dyDescent="0.45">
      <c r="P56" s="4" t="s">
        <v>297</v>
      </c>
      <c r="Q56" s="3"/>
    </row>
    <row r="57" spans="16:17" x14ac:dyDescent="0.45">
      <c r="P57" s="4" t="s">
        <v>296</v>
      </c>
      <c r="Q57" s="6">
        <f>51268</f>
        <v>51268</v>
      </c>
    </row>
    <row r="58" spans="16:17" x14ac:dyDescent="0.45">
      <c r="P58" s="4" t="s">
        <v>295</v>
      </c>
      <c r="Q58" s="6">
        <f>12</f>
        <v>12</v>
      </c>
    </row>
    <row r="59" spans="16:17" x14ac:dyDescent="0.45">
      <c r="P59" s="4" t="s">
        <v>294</v>
      </c>
      <c r="Q59" s="5">
        <f>((Q56)+(Q57))+(Q58)</f>
        <v>51280</v>
      </c>
    </row>
    <row r="60" spans="16:17" x14ac:dyDescent="0.45">
      <c r="P60" s="4" t="s">
        <v>293</v>
      </c>
      <c r="Q60" s="3"/>
    </row>
    <row r="61" spans="16:17" x14ac:dyDescent="0.45">
      <c r="P61" s="4" t="s">
        <v>292</v>
      </c>
      <c r="Q61" s="6">
        <f>1314.16</f>
        <v>1314.16</v>
      </c>
    </row>
    <row r="62" spans="16:17" x14ac:dyDescent="0.45">
      <c r="P62" s="4" t="s">
        <v>291</v>
      </c>
      <c r="Q62" s="6">
        <f>17445.38</f>
        <v>17445.38</v>
      </c>
    </row>
    <row r="63" spans="16:17" x14ac:dyDescent="0.45">
      <c r="P63" s="4" t="s">
        <v>290</v>
      </c>
      <c r="Q63" s="6">
        <f>70120</f>
        <v>70120</v>
      </c>
    </row>
    <row r="64" spans="16:17" x14ac:dyDescent="0.45">
      <c r="P64" s="4" t="s">
        <v>289</v>
      </c>
      <c r="Q64" s="5">
        <f>(((Q60)+(Q61))+(Q62))+(Q63)</f>
        <v>88879.540000000008</v>
      </c>
    </row>
    <row r="65" spans="16:17" x14ac:dyDescent="0.45">
      <c r="P65" s="4" t="s">
        <v>288</v>
      </c>
      <c r="Q65" s="5">
        <f>((((Q51)+(Q52))+(Q55))+(Q59))+(Q64)</f>
        <v>1263059.4000000001</v>
      </c>
    </row>
    <row r="66" spans="16:17" x14ac:dyDescent="0.45">
      <c r="P66" s="4" t="s">
        <v>287</v>
      </c>
      <c r="Q66" s="6">
        <f>0</f>
        <v>0</v>
      </c>
    </row>
    <row r="67" spans="16:17" x14ac:dyDescent="0.45">
      <c r="P67" s="4" t="s">
        <v>286</v>
      </c>
      <c r="Q67" s="6">
        <f>76000</f>
        <v>76000</v>
      </c>
    </row>
    <row r="68" spans="16:17" x14ac:dyDescent="0.45">
      <c r="P68" s="4" t="s">
        <v>285</v>
      </c>
      <c r="Q68" s="3"/>
    </row>
    <row r="69" spans="16:17" x14ac:dyDescent="0.45">
      <c r="P69" s="4" t="s">
        <v>284</v>
      </c>
      <c r="Q69" s="6">
        <f>2154.74</f>
        <v>2154.7399999999998</v>
      </c>
    </row>
    <row r="70" spans="16:17" x14ac:dyDescent="0.45">
      <c r="P70" s="4" t="s">
        <v>283</v>
      </c>
      <c r="Q70" s="6">
        <f>23236.59</f>
        <v>23236.59</v>
      </c>
    </row>
    <row r="71" spans="16:17" x14ac:dyDescent="0.45">
      <c r="P71" s="4" t="s">
        <v>282</v>
      </c>
      <c r="Q71" s="6">
        <f>18077.86</f>
        <v>18077.86</v>
      </c>
    </row>
    <row r="72" spans="16:17" x14ac:dyDescent="0.45">
      <c r="P72" s="4" t="s">
        <v>281</v>
      </c>
      <c r="Q72" s="6">
        <f>90301.41</f>
        <v>90301.41</v>
      </c>
    </row>
    <row r="73" spans="16:17" x14ac:dyDescent="0.45">
      <c r="P73" s="4" t="s">
        <v>280</v>
      </c>
      <c r="Q73" s="5">
        <f>((((Q68)+(Q69))+(Q70))+(Q71))+(Q72)</f>
        <v>133770.6</v>
      </c>
    </row>
    <row r="74" spans="16:17" x14ac:dyDescent="0.45">
      <c r="P74" s="4" t="s">
        <v>279</v>
      </c>
      <c r="Q74" s="3"/>
    </row>
    <row r="75" spans="16:17" x14ac:dyDescent="0.45">
      <c r="P75" s="4" t="s">
        <v>278</v>
      </c>
      <c r="Q75" s="6">
        <f>169068.28</f>
        <v>169068.28</v>
      </c>
    </row>
    <row r="76" spans="16:17" x14ac:dyDescent="0.45">
      <c r="P76" s="4" t="s">
        <v>277</v>
      </c>
      <c r="Q76" s="5">
        <f>(Q74)+(Q75)</f>
        <v>169068.28</v>
      </c>
    </row>
    <row r="77" spans="16:17" x14ac:dyDescent="0.45">
      <c r="P77" s="4" t="s">
        <v>276</v>
      </c>
      <c r="Q77" s="6">
        <f>56244.38</f>
        <v>56244.38</v>
      </c>
    </row>
    <row r="78" spans="16:17" x14ac:dyDescent="0.45">
      <c r="P78" s="4" t="s">
        <v>275</v>
      </c>
      <c r="Q78" s="6">
        <f>18129.07</f>
        <v>18129.07</v>
      </c>
    </row>
    <row r="79" spans="16:17" x14ac:dyDescent="0.45">
      <c r="P79" s="4" t="s">
        <v>274</v>
      </c>
      <c r="Q79" s="6">
        <f>-70344.56</f>
        <v>-70344.56</v>
      </c>
    </row>
    <row r="80" spans="16:17" x14ac:dyDescent="0.45">
      <c r="P80" s="4" t="s">
        <v>273</v>
      </c>
      <c r="Q80" s="5">
        <f>((((((((((((((Q7)+(Q8))+(Q9))+(Q16))+(Q24))+(Q49))+(Q50))+(Q65))+(Q66))+(Q67))+(Q73))+(Q76))+(Q77))+(Q78))+(Q79)</f>
        <v>2650852.2899999996</v>
      </c>
    </row>
    <row r="81" spans="16:17" x14ac:dyDescent="0.45">
      <c r="P81" s="4" t="s">
        <v>272</v>
      </c>
      <c r="Q81" s="5">
        <f>(Q80)-(0)</f>
        <v>2650852.2899999996</v>
      </c>
    </row>
    <row r="82" spans="16:17" x14ac:dyDescent="0.45">
      <c r="P82" s="4" t="s">
        <v>271</v>
      </c>
      <c r="Q82" s="3"/>
    </row>
    <row r="83" spans="16:17" x14ac:dyDescent="0.45">
      <c r="P83" s="4" t="s">
        <v>270</v>
      </c>
      <c r="Q83" s="3"/>
    </row>
    <row r="84" spans="16:17" x14ac:dyDescent="0.45">
      <c r="P84" s="4" t="s">
        <v>269</v>
      </c>
      <c r="Q84" s="6">
        <f>185</f>
        <v>185</v>
      </c>
    </row>
    <row r="85" spans="16:17" x14ac:dyDescent="0.45">
      <c r="P85" s="4" t="s">
        <v>268</v>
      </c>
      <c r="Q85" s="5">
        <f>(Q83)+(Q84)</f>
        <v>185</v>
      </c>
    </row>
    <row r="86" spans="16:17" x14ac:dyDescent="0.45">
      <c r="P86" s="4" t="s">
        <v>267</v>
      </c>
      <c r="Q86" s="3"/>
    </row>
    <row r="87" spans="16:17" x14ac:dyDescent="0.45">
      <c r="P87" s="4" t="s">
        <v>266</v>
      </c>
      <c r="Q87" s="6">
        <f>18002.5</f>
        <v>18002.5</v>
      </c>
    </row>
    <row r="88" spans="16:17" x14ac:dyDescent="0.45">
      <c r="P88" s="4" t="s">
        <v>265</v>
      </c>
      <c r="Q88" s="6">
        <f>12145.79</f>
        <v>12145.79</v>
      </c>
    </row>
    <row r="89" spans="16:17" x14ac:dyDescent="0.45">
      <c r="P89" s="4" t="s">
        <v>264</v>
      </c>
      <c r="Q89" s="6">
        <f>1497.2</f>
        <v>1497.2</v>
      </c>
    </row>
    <row r="90" spans="16:17" x14ac:dyDescent="0.45">
      <c r="P90" s="4" t="s">
        <v>263</v>
      </c>
      <c r="Q90" s="6">
        <f>8675.85</f>
        <v>8675.85</v>
      </c>
    </row>
    <row r="91" spans="16:17" x14ac:dyDescent="0.45">
      <c r="P91" s="4" t="s">
        <v>262</v>
      </c>
      <c r="Q91" s="6">
        <f>93.52</f>
        <v>93.52</v>
      </c>
    </row>
    <row r="92" spans="16:17" x14ac:dyDescent="0.45">
      <c r="P92" s="4" t="s">
        <v>261</v>
      </c>
      <c r="Q92" s="5">
        <f>(((((Q86)+(Q87))+(Q88))+(Q89))+(Q90))+(Q91)</f>
        <v>40414.86</v>
      </c>
    </row>
    <row r="93" spans="16:17" x14ac:dyDescent="0.45">
      <c r="P93" s="4" t="s">
        <v>260</v>
      </c>
      <c r="Q93" s="6">
        <f>69594.6</f>
        <v>69594.600000000006</v>
      </c>
    </row>
    <row r="94" spans="16:17" x14ac:dyDescent="0.45">
      <c r="P94" s="4" t="s">
        <v>259</v>
      </c>
      <c r="Q94" s="6">
        <f>5430.75</f>
        <v>5430.75</v>
      </c>
    </row>
    <row r="95" spans="16:17" x14ac:dyDescent="0.45">
      <c r="P95" s="4" t="s">
        <v>258</v>
      </c>
      <c r="Q95" s="6">
        <f>3479.8</f>
        <v>3479.8</v>
      </c>
    </row>
    <row r="96" spans="16:17" x14ac:dyDescent="0.45">
      <c r="P96" s="4" t="s">
        <v>257</v>
      </c>
      <c r="Q96" s="6">
        <f>3401.6</f>
        <v>3401.6</v>
      </c>
    </row>
    <row r="97" spans="16:17" x14ac:dyDescent="0.45">
      <c r="P97" s="4" t="s">
        <v>256</v>
      </c>
      <c r="Q97" s="5">
        <f>(((Q93)+(Q94))+(Q95))+(Q96)</f>
        <v>81906.750000000015</v>
      </c>
    </row>
    <row r="98" spans="16:17" x14ac:dyDescent="0.45">
      <c r="P98" s="4" t="s">
        <v>255</v>
      </c>
      <c r="Q98" s="6">
        <f>54490.4</f>
        <v>54490.400000000001</v>
      </c>
    </row>
    <row r="99" spans="16:17" x14ac:dyDescent="0.45">
      <c r="P99" s="4" t="s">
        <v>254</v>
      </c>
      <c r="Q99" s="6">
        <f>2924.56</f>
        <v>2924.56</v>
      </c>
    </row>
    <row r="100" spans="16:17" x14ac:dyDescent="0.45">
      <c r="P100" s="4" t="s">
        <v>253</v>
      </c>
      <c r="Q100" s="6">
        <f>4275.27</f>
        <v>4275.2700000000004</v>
      </c>
    </row>
    <row r="101" spans="16:17" x14ac:dyDescent="0.45">
      <c r="P101" s="4" t="s">
        <v>252</v>
      </c>
      <c r="Q101" s="6">
        <f>6188.3</f>
        <v>6188.3</v>
      </c>
    </row>
    <row r="102" spans="16:17" x14ac:dyDescent="0.45">
      <c r="P102" s="4" t="s">
        <v>251</v>
      </c>
      <c r="Q102" s="5">
        <f>(((Q98)+(Q99))+(Q100))+(Q101)</f>
        <v>67878.53</v>
      </c>
    </row>
    <row r="103" spans="16:17" x14ac:dyDescent="0.45">
      <c r="P103" s="4" t="s">
        <v>250</v>
      </c>
      <c r="Q103" s="3"/>
    </row>
    <row r="104" spans="16:17" x14ac:dyDescent="0.45">
      <c r="P104" s="4" t="s">
        <v>249</v>
      </c>
      <c r="Q104" s="6">
        <f>16475.56</f>
        <v>16475.560000000001</v>
      </c>
    </row>
    <row r="105" spans="16:17" x14ac:dyDescent="0.45">
      <c r="P105" s="4" t="s">
        <v>248</v>
      </c>
      <c r="Q105" s="6">
        <f>776</f>
        <v>776</v>
      </c>
    </row>
    <row r="106" spans="16:17" x14ac:dyDescent="0.45">
      <c r="P106" s="4" t="s">
        <v>247</v>
      </c>
      <c r="Q106" s="3"/>
    </row>
    <row r="107" spans="16:17" x14ac:dyDescent="0.45">
      <c r="P107" s="4" t="s">
        <v>246</v>
      </c>
      <c r="Q107" s="6">
        <f>2352.11</f>
        <v>2352.11</v>
      </c>
    </row>
    <row r="108" spans="16:17" x14ac:dyDescent="0.45">
      <c r="P108" s="4" t="s">
        <v>245</v>
      </c>
      <c r="Q108" s="6">
        <f>2609.06</f>
        <v>2609.06</v>
      </c>
    </row>
    <row r="109" spans="16:17" x14ac:dyDescent="0.45">
      <c r="P109" s="4" t="s">
        <v>244</v>
      </c>
      <c r="Q109" s="5">
        <f>((Q106)+(Q107))+(Q108)</f>
        <v>4961.17</v>
      </c>
    </row>
    <row r="110" spans="16:17" x14ac:dyDescent="0.45">
      <c r="P110" s="4" t="s">
        <v>243</v>
      </c>
      <c r="Q110" s="6">
        <f>2096.28</f>
        <v>2096.2800000000002</v>
      </c>
    </row>
    <row r="111" spans="16:17" x14ac:dyDescent="0.45">
      <c r="P111" s="4" t="s">
        <v>242</v>
      </c>
      <c r="Q111" s="6">
        <f>540.44</f>
        <v>540.44000000000005</v>
      </c>
    </row>
    <row r="112" spans="16:17" x14ac:dyDescent="0.45">
      <c r="P112" s="4" t="s">
        <v>241</v>
      </c>
      <c r="Q112" s="6">
        <f>4280.55</f>
        <v>4280.55</v>
      </c>
    </row>
    <row r="113" spans="16:17" x14ac:dyDescent="0.45">
      <c r="P113" s="4" t="s">
        <v>240</v>
      </c>
      <c r="Q113" s="6">
        <f>10691.26</f>
        <v>10691.26</v>
      </c>
    </row>
    <row r="114" spans="16:17" x14ac:dyDescent="0.45">
      <c r="P114" s="4" t="s">
        <v>239</v>
      </c>
      <c r="Q114" s="6">
        <f>7231.2</f>
        <v>7231.2</v>
      </c>
    </row>
    <row r="115" spans="16:17" x14ac:dyDescent="0.45">
      <c r="P115" s="4" t="s">
        <v>238</v>
      </c>
      <c r="Q115" s="5">
        <f>((((((((Q103)+(Q104))+(Q105))+(Q109))+(Q110))+(Q111))+(Q112))+(Q113))+(Q114)</f>
        <v>47052.46</v>
      </c>
    </row>
    <row r="116" spans="16:17" x14ac:dyDescent="0.45">
      <c r="P116" s="4" t="s">
        <v>237</v>
      </c>
      <c r="Q116" s="3"/>
    </row>
    <row r="117" spans="16:17" x14ac:dyDescent="0.45">
      <c r="P117" s="4" t="s">
        <v>236</v>
      </c>
      <c r="Q117" s="6">
        <f>0</f>
        <v>0</v>
      </c>
    </row>
    <row r="118" spans="16:17" x14ac:dyDescent="0.45">
      <c r="P118" s="4" t="s">
        <v>235</v>
      </c>
      <c r="Q118" s="6">
        <f>1300</f>
        <v>1300</v>
      </c>
    </row>
    <row r="119" spans="16:17" x14ac:dyDescent="0.45">
      <c r="P119" s="4" t="s">
        <v>234</v>
      </c>
      <c r="Q119" s="6">
        <f>2250</f>
        <v>2250</v>
      </c>
    </row>
    <row r="120" spans="16:17" x14ac:dyDescent="0.45">
      <c r="P120" s="4" t="s">
        <v>233</v>
      </c>
      <c r="Q120" s="5">
        <f>(Q118)+(Q119)</f>
        <v>3550</v>
      </c>
    </row>
    <row r="121" spans="16:17" x14ac:dyDescent="0.45">
      <c r="P121" s="4" t="s">
        <v>232</v>
      </c>
      <c r="Q121" s="6">
        <f>26566</f>
        <v>26566</v>
      </c>
    </row>
    <row r="122" spans="16:17" x14ac:dyDescent="0.45">
      <c r="P122" s="4" t="s">
        <v>231</v>
      </c>
      <c r="Q122" s="3"/>
    </row>
    <row r="123" spans="16:17" x14ac:dyDescent="0.45">
      <c r="P123" s="4" t="s">
        <v>230</v>
      </c>
      <c r="Q123" s="6">
        <f>350</f>
        <v>350</v>
      </c>
    </row>
    <row r="124" spans="16:17" x14ac:dyDescent="0.45">
      <c r="P124" s="4" t="s">
        <v>229</v>
      </c>
      <c r="Q124" s="5">
        <f>(Q122)+(Q123)</f>
        <v>350</v>
      </c>
    </row>
    <row r="125" spans="16:17" x14ac:dyDescent="0.45">
      <c r="P125" s="4" t="s">
        <v>228</v>
      </c>
      <c r="Q125" s="6">
        <f>137.88</f>
        <v>137.88</v>
      </c>
    </row>
    <row r="126" spans="16:17" x14ac:dyDescent="0.45">
      <c r="P126" s="4" t="s">
        <v>227</v>
      </c>
      <c r="Q126" s="6">
        <f>171.05</f>
        <v>171.05</v>
      </c>
    </row>
    <row r="127" spans="16:17" x14ac:dyDescent="0.45">
      <c r="P127" s="4" t="s">
        <v>226</v>
      </c>
      <c r="Q127" s="6">
        <f>7082.6</f>
        <v>7082.6</v>
      </c>
    </row>
    <row r="128" spans="16:17" x14ac:dyDescent="0.45">
      <c r="P128" s="4" t="s">
        <v>225</v>
      </c>
      <c r="Q128" s="6">
        <f>3693.3</f>
        <v>3693.3</v>
      </c>
    </row>
    <row r="129" spans="16:17" x14ac:dyDescent="0.45">
      <c r="P129" s="4" t="s">
        <v>224</v>
      </c>
      <c r="Q129" s="5">
        <f>(((Q125)+(Q126))+(Q127))+(Q128)</f>
        <v>11084.830000000002</v>
      </c>
    </row>
    <row r="130" spans="16:17" x14ac:dyDescent="0.45">
      <c r="P130" s="4" t="s">
        <v>223</v>
      </c>
      <c r="Q130" s="3"/>
    </row>
    <row r="131" spans="16:17" x14ac:dyDescent="0.45">
      <c r="P131" s="4" t="s">
        <v>222</v>
      </c>
      <c r="Q131" s="6">
        <f>45970</f>
        <v>45970</v>
      </c>
    </row>
    <row r="132" spans="16:17" x14ac:dyDescent="0.45">
      <c r="P132" s="4" t="s">
        <v>221</v>
      </c>
      <c r="Q132" s="6">
        <f>720</f>
        <v>720</v>
      </c>
    </row>
    <row r="133" spans="16:17" x14ac:dyDescent="0.45">
      <c r="P133" s="4" t="s">
        <v>220</v>
      </c>
      <c r="Q133" s="5">
        <f>((Q130)+(Q131))+(Q132)</f>
        <v>46690</v>
      </c>
    </row>
    <row r="134" spans="16:17" x14ac:dyDescent="0.45">
      <c r="P134" s="4" t="s">
        <v>219</v>
      </c>
      <c r="Q134" s="3"/>
    </row>
    <row r="135" spans="16:17" x14ac:dyDescent="0.45">
      <c r="P135" s="4" t="s">
        <v>218</v>
      </c>
      <c r="Q135" s="6">
        <f>4000</f>
        <v>4000</v>
      </c>
    </row>
    <row r="136" spans="16:17" x14ac:dyDescent="0.45">
      <c r="P136" s="4" t="s">
        <v>217</v>
      </c>
      <c r="Q136" s="6">
        <f>1098.94</f>
        <v>1098.94</v>
      </c>
    </row>
    <row r="137" spans="16:17" x14ac:dyDescent="0.45">
      <c r="P137" s="4" t="s">
        <v>216</v>
      </c>
      <c r="Q137" s="5">
        <f>((Q134)+(Q135))+(Q136)</f>
        <v>5098.9400000000005</v>
      </c>
    </row>
    <row r="138" spans="16:17" x14ac:dyDescent="0.45">
      <c r="P138" s="4" t="s">
        <v>215</v>
      </c>
      <c r="Q138" s="6">
        <f>9761.14</f>
        <v>9761.14</v>
      </c>
    </row>
    <row r="139" spans="16:17" x14ac:dyDescent="0.45">
      <c r="P139" s="4" t="s">
        <v>214</v>
      </c>
      <c r="Q139" s="6">
        <f>583.04</f>
        <v>583.04</v>
      </c>
    </row>
    <row r="140" spans="16:17" x14ac:dyDescent="0.45">
      <c r="P140" s="4" t="s">
        <v>213</v>
      </c>
      <c r="Q140" s="6">
        <f>2466.88</f>
        <v>2466.88</v>
      </c>
    </row>
    <row r="141" spans="16:17" x14ac:dyDescent="0.45">
      <c r="P141" s="4" t="s">
        <v>212</v>
      </c>
      <c r="Q141" s="6">
        <f>31961.48</f>
        <v>31961.48</v>
      </c>
    </row>
    <row r="142" spans="16:17" x14ac:dyDescent="0.45">
      <c r="P142" s="4" t="s">
        <v>211</v>
      </c>
      <c r="Q142" s="6">
        <f>1400</f>
        <v>1400</v>
      </c>
    </row>
    <row r="143" spans="16:17" x14ac:dyDescent="0.45">
      <c r="P143" s="4" t="s">
        <v>210</v>
      </c>
      <c r="Q143" s="6">
        <f>8000</f>
        <v>8000</v>
      </c>
    </row>
    <row r="144" spans="16:17" x14ac:dyDescent="0.45">
      <c r="P144" s="4" t="s">
        <v>209</v>
      </c>
      <c r="Q144" s="6">
        <f>23999.9</f>
        <v>23999.9</v>
      </c>
    </row>
    <row r="145" spans="16:17" x14ac:dyDescent="0.45">
      <c r="P145" s="4" t="s">
        <v>208</v>
      </c>
      <c r="Q145" s="6">
        <f>1917.59</f>
        <v>1917.59</v>
      </c>
    </row>
    <row r="146" spans="16:17" x14ac:dyDescent="0.45">
      <c r="P146" s="4" t="s">
        <v>207</v>
      </c>
      <c r="Q146" s="5">
        <f>(((Q142)+(Q143))+(Q144))+(Q145)</f>
        <v>35317.49</v>
      </c>
    </row>
    <row r="147" spans="16:17" x14ac:dyDescent="0.45">
      <c r="P147" s="4" t="s">
        <v>206</v>
      </c>
      <c r="Q147" s="6">
        <f>270</f>
        <v>270</v>
      </c>
    </row>
    <row r="148" spans="16:17" x14ac:dyDescent="0.45">
      <c r="P148" s="4" t="s">
        <v>205</v>
      </c>
      <c r="Q148" s="6">
        <f>366.23</f>
        <v>366.23</v>
      </c>
    </row>
    <row r="149" spans="16:17" x14ac:dyDescent="0.45">
      <c r="P149" s="4" t="s">
        <v>204</v>
      </c>
      <c r="Q149" s="6">
        <f>23.44</f>
        <v>23.44</v>
      </c>
    </row>
    <row r="150" spans="16:17" x14ac:dyDescent="0.45">
      <c r="P150" s="4" t="s">
        <v>203</v>
      </c>
      <c r="Q150" s="6">
        <f>736.35</f>
        <v>736.35</v>
      </c>
    </row>
    <row r="151" spans="16:17" x14ac:dyDescent="0.45">
      <c r="P151" s="4" t="s">
        <v>202</v>
      </c>
      <c r="Q151" s="6">
        <f>318.4</f>
        <v>318.39999999999998</v>
      </c>
    </row>
    <row r="152" spans="16:17" x14ac:dyDescent="0.45">
      <c r="P152" s="4" t="s">
        <v>201</v>
      </c>
      <c r="Q152" s="6">
        <f>580</f>
        <v>580</v>
      </c>
    </row>
    <row r="153" spans="16:17" x14ac:dyDescent="0.45">
      <c r="P153" s="4" t="s">
        <v>200</v>
      </c>
      <c r="Q153" s="5">
        <f>(((Q149)+(Q150))+(Q151))+(Q152)</f>
        <v>1658.19</v>
      </c>
    </row>
    <row r="154" spans="16:17" x14ac:dyDescent="0.45">
      <c r="P154" s="4" t="s">
        <v>199</v>
      </c>
      <c r="Q154" s="6">
        <f>100</f>
        <v>100</v>
      </c>
    </row>
    <row r="155" spans="16:17" x14ac:dyDescent="0.45">
      <c r="P155" s="4" t="s">
        <v>198</v>
      </c>
      <c r="Q155" s="6">
        <f>16042.96</f>
        <v>16042.96</v>
      </c>
    </row>
    <row r="156" spans="16:17" x14ac:dyDescent="0.45">
      <c r="P156" s="4" t="s">
        <v>197</v>
      </c>
      <c r="Q156" s="6">
        <f>3681.56</f>
        <v>3681.56</v>
      </c>
    </row>
    <row r="157" spans="16:17" x14ac:dyDescent="0.45">
      <c r="P157" s="4" t="s">
        <v>196</v>
      </c>
      <c r="Q157" s="5">
        <f>((Q154)+(Q155))+(Q156)</f>
        <v>19824.52</v>
      </c>
    </row>
    <row r="158" spans="16:17" x14ac:dyDescent="0.45">
      <c r="P158" s="4" t="s">
        <v>195</v>
      </c>
      <c r="Q158" s="6">
        <f>700</f>
        <v>700</v>
      </c>
    </row>
    <row r="159" spans="16:17" x14ac:dyDescent="0.45">
      <c r="P159" s="4" t="s">
        <v>194</v>
      </c>
      <c r="Q159" s="6">
        <f>1300</f>
        <v>1300</v>
      </c>
    </row>
    <row r="160" spans="16:17" x14ac:dyDescent="0.45">
      <c r="P160" s="4" t="s">
        <v>193</v>
      </c>
      <c r="Q160" s="6">
        <f>1138.55</f>
        <v>1138.55</v>
      </c>
    </row>
    <row r="161" spans="16:17" x14ac:dyDescent="0.45">
      <c r="P161" s="4" t="s">
        <v>192</v>
      </c>
      <c r="Q161" s="6">
        <f>4700</f>
        <v>4700</v>
      </c>
    </row>
    <row r="162" spans="16:17" x14ac:dyDescent="0.45">
      <c r="P162" s="4" t="s">
        <v>191</v>
      </c>
      <c r="Q162" s="6">
        <f>2850</f>
        <v>2850</v>
      </c>
    </row>
    <row r="163" spans="16:17" x14ac:dyDescent="0.45">
      <c r="P163" s="4" t="s">
        <v>190</v>
      </c>
      <c r="Q163" s="6">
        <f>539.06</f>
        <v>539.05999999999995</v>
      </c>
    </row>
    <row r="164" spans="16:17" x14ac:dyDescent="0.45">
      <c r="P164" s="4" t="s">
        <v>189</v>
      </c>
      <c r="Q164" s="6">
        <f>40311.54</f>
        <v>40311.54</v>
      </c>
    </row>
    <row r="165" spans="16:17" x14ac:dyDescent="0.45">
      <c r="P165" s="4" t="s">
        <v>188</v>
      </c>
      <c r="Q165" s="6">
        <f>3483.14</f>
        <v>3483.14</v>
      </c>
    </row>
    <row r="166" spans="16:17" x14ac:dyDescent="0.45">
      <c r="P166" s="4" t="s">
        <v>187</v>
      </c>
      <c r="Q166" s="6">
        <f>185</f>
        <v>185</v>
      </c>
    </row>
    <row r="167" spans="16:17" x14ac:dyDescent="0.45">
      <c r="P167" s="4" t="s">
        <v>186</v>
      </c>
      <c r="Q167" s="6">
        <f>1236.26</f>
        <v>1236.26</v>
      </c>
    </row>
    <row r="168" spans="16:17" x14ac:dyDescent="0.45">
      <c r="P168" s="4" t="s">
        <v>185</v>
      </c>
      <c r="Q168" s="5">
        <f>((((((((Q159)+(Q160))+(Q161))+(Q162))+(Q163))+(Q164))+(Q165))+(Q166))+(Q167)</f>
        <v>55743.55</v>
      </c>
    </row>
    <row r="169" spans="16:17" x14ac:dyDescent="0.45">
      <c r="P169" s="4" t="s">
        <v>184</v>
      </c>
      <c r="Q169" s="6">
        <f>1024</f>
        <v>1024</v>
      </c>
    </row>
    <row r="170" spans="16:17" x14ac:dyDescent="0.45">
      <c r="P170" s="4" t="s">
        <v>183</v>
      </c>
      <c r="Q170" s="6">
        <f>325</f>
        <v>325</v>
      </c>
    </row>
    <row r="171" spans="16:17" x14ac:dyDescent="0.45">
      <c r="P171" s="4" t="s">
        <v>182</v>
      </c>
      <c r="Q171" s="6">
        <f>38568.84</f>
        <v>38568.839999999997</v>
      </c>
    </row>
    <row r="172" spans="16:17" x14ac:dyDescent="0.45">
      <c r="P172" s="4" t="s">
        <v>181</v>
      </c>
      <c r="Q172" s="6">
        <f>2000.11</f>
        <v>2000.11</v>
      </c>
    </row>
    <row r="173" spans="16:17" x14ac:dyDescent="0.45">
      <c r="P173" s="4" t="s">
        <v>180</v>
      </c>
      <c r="Q173" s="6">
        <f>35397.72</f>
        <v>35397.72</v>
      </c>
    </row>
    <row r="174" spans="16:17" x14ac:dyDescent="0.45">
      <c r="P174" s="4" t="s">
        <v>179</v>
      </c>
      <c r="Q174" s="3"/>
    </row>
    <row r="175" spans="16:17" x14ac:dyDescent="0.45">
      <c r="P175" s="4" t="s">
        <v>178</v>
      </c>
      <c r="Q175" s="6">
        <f>60145.51</f>
        <v>60145.51</v>
      </c>
    </row>
    <row r="176" spans="16:17" x14ac:dyDescent="0.45">
      <c r="P176" s="4" t="s">
        <v>177</v>
      </c>
      <c r="Q176" s="6">
        <f>495.88</f>
        <v>495.88</v>
      </c>
    </row>
    <row r="177" spans="16:17" x14ac:dyDescent="0.45">
      <c r="P177" s="4" t="s">
        <v>176</v>
      </c>
      <c r="Q177" s="6">
        <f>25286.5</f>
        <v>25286.5</v>
      </c>
    </row>
    <row r="178" spans="16:17" x14ac:dyDescent="0.45">
      <c r="P178" s="4" t="s">
        <v>175</v>
      </c>
      <c r="Q178" s="6">
        <f>2020.38</f>
        <v>2020.38</v>
      </c>
    </row>
    <row r="179" spans="16:17" x14ac:dyDescent="0.45">
      <c r="P179" s="4" t="s">
        <v>174</v>
      </c>
      <c r="Q179" s="5">
        <f>(Q177)+(Q178)</f>
        <v>27306.880000000001</v>
      </c>
    </row>
    <row r="180" spans="16:17" x14ac:dyDescent="0.45">
      <c r="P180" s="4" t="s">
        <v>173</v>
      </c>
      <c r="Q180" s="6">
        <f>4743.37</f>
        <v>4743.37</v>
      </c>
    </row>
    <row r="181" spans="16:17" x14ac:dyDescent="0.45">
      <c r="P181" s="4" t="s">
        <v>172</v>
      </c>
      <c r="Q181" s="6">
        <f>3307.29</f>
        <v>3307.29</v>
      </c>
    </row>
    <row r="182" spans="16:17" x14ac:dyDescent="0.45">
      <c r="P182" s="4" t="s">
        <v>171</v>
      </c>
      <c r="Q182" s="5">
        <f>(((((Q174)+(Q175))+(Q176))+(Q179))+(Q180))+(Q181)</f>
        <v>95998.93</v>
      </c>
    </row>
    <row r="183" spans="16:17" x14ac:dyDescent="0.45">
      <c r="P183" s="4" t="s">
        <v>170</v>
      </c>
      <c r="Q183" s="5">
        <f>((((((((((((((((((((((((Q116)+(Q117))+(Q120))+(Q121))+(Q124))+(Q129))+(Q133))+(Q137))+(Q138))+(Q139))+(Q140))+(Q141))+(Q146))+(Q147))+(Q148))+(Q153))+(Q157))+(Q158))+(Q168))+(Q169))+(Q170))+(Q171))+(Q172))+(Q173))+(Q182)</f>
        <v>425306.88999999996</v>
      </c>
    </row>
    <row r="184" spans="16:17" x14ac:dyDescent="0.45">
      <c r="P184" s="4" t="s">
        <v>169</v>
      </c>
      <c r="Q184" s="3"/>
    </row>
    <row r="185" spans="16:17" x14ac:dyDescent="0.45">
      <c r="P185" s="4" t="s">
        <v>168</v>
      </c>
      <c r="Q185" s="3"/>
    </row>
    <row r="186" spans="16:17" x14ac:dyDescent="0.45">
      <c r="P186" s="4" t="s">
        <v>167</v>
      </c>
      <c r="Q186" s="6">
        <f>669.5</f>
        <v>669.5</v>
      </c>
    </row>
    <row r="187" spans="16:17" x14ac:dyDescent="0.45">
      <c r="P187" s="4" t="s">
        <v>166</v>
      </c>
      <c r="Q187" s="6">
        <f>17875</f>
        <v>17875</v>
      </c>
    </row>
    <row r="188" spans="16:17" x14ac:dyDescent="0.45">
      <c r="P188" s="4" t="s">
        <v>165</v>
      </c>
      <c r="Q188" s="6">
        <f>1074.68</f>
        <v>1074.68</v>
      </c>
    </row>
    <row r="189" spans="16:17" x14ac:dyDescent="0.45">
      <c r="P189" s="4" t="s">
        <v>164</v>
      </c>
      <c r="Q189" s="6">
        <f>4273.59</f>
        <v>4273.59</v>
      </c>
    </row>
    <row r="190" spans="16:17" x14ac:dyDescent="0.45">
      <c r="P190" s="4" t="s">
        <v>163</v>
      </c>
      <c r="Q190" s="6">
        <f>5971.35</f>
        <v>5971.35</v>
      </c>
    </row>
    <row r="191" spans="16:17" x14ac:dyDescent="0.45">
      <c r="P191" s="4" t="s">
        <v>162</v>
      </c>
      <c r="Q191" s="6">
        <f>900.45</f>
        <v>900.45</v>
      </c>
    </row>
    <row r="192" spans="16:17" x14ac:dyDescent="0.45">
      <c r="P192" s="4" t="s">
        <v>161</v>
      </c>
      <c r="Q192" s="6">
        <f>12211.87</f>
        <v>12211.87</v>
      </c>
    </row>
    <row r="193" spans="16:17" x14ac:dyDescent="0.45">
      <c r="P193" s="4" t="s">
        <v>160</v>
      </c>
      <c r="Q193" s="6">
        <f>319.33</f>
        <v>319.33</v>
      </c>
    </row>
    <row r="194" spans="16:17" x14ac:dyDescent="0.45">
      <c r="P194" s="4" t="s">
        <v>159</v>
      </c>
      <c r="Q194" s="6">
        <f>140.59</f>
        <v>140.59</v>
      </c>
    </row>
    <row r="195" spans="16:17" x14ac:dyDescent="0.45">
      <c r="P195" s="4" t="s">
        <v>158</v>
      </c>
      <c r="Q195" s="6">
        <f>1434.33</f>
        <v>1434.33</v>
      </c>
    </row>
    <row r="196" spans="16:17" x14ac:dyDescent="0.45">
      <c r="P196" s="4" t="s">
        <v>157</v>
      </c>
      <c r="Q196" s="5">
        <f>((((((((((Q185)+(Q186))+(Q187))+(Q188))+(Q189))+(Q190))+(Q191))+(Q192))+(Q193))+(Q194))+(Q195)</f>
        <v>44870.69</v>
      </c>
    </row>
    <row r="197" spans="16:17" x14ac:dyDescent="0.45">
      <c r="P197" s="4" t="s">
        <v>156</v>
      </c>
      <c r="Q197" s="6">
        <f>15.94</f>
        <v>15.94</v>
      </c>
    </row>
    <row r="198" spans="16:17" x14ac:dyDescent="0.45">
      <c r="P198" s="4" t="s">
        <v>155</v>
      </c>
      <c r="Q198" s="6">
        <f>669.5</f>
        <v>669.5</v>
      </c>
    </row>
    <row r="199" spans="16:17" x14ac:dyDescent="0.45">
      <c r="P199" s="4" t="s">
        <v>154</v>
      </c>
      <c r="Q199" s="6">
        <f>6773.72</f>
        <v>6773.72</v>
      </c>
    </row>
    <row r="200" spans="16:17" x14ac:dyDescent="0.45">
      <c r="P200" s="4" t="s">
        <v>153</v>
      </c>
      <c r="Q200" s="6">
        <f>711.62</f>
        <v>711.62</v>
      </c>
    </row>
    <row r="201" spans="16:17" x14ac:dyDescent="0.45">
      <c r="P201" s="4" t="s">
        <v>152</v>
      </c>
      <c r="Q201" s="6">
        <f>4200</f>
        <v>4200</v>
      </c>
    </row>
    <row r="202" spans="16:17" x14ac:dyDescent="0.45">
      <c r="P202" s="4" t="s">
        <v>151</v>
      </c>
      <c r="Q202" s="6">
        <f>1799.06</f>
        <v>1799.06</v>
      </c>
    </row>
    <row r="203" spans="16:17" x14ac:dyDescent="0.45">
      <c r="P203" s="4" t="s">
        <v>150</v>
      </c>
      <c r="Q203" s="6">
        <f>2887.72</f>
        <v>2887.72</v>
      </c>
    </row>
    <row r="204" spans="16:17" x14ac:dyDescent="0.45">
      <c r="P204" s="4" t="s">
        <v>149</v>
      </c>
      <c r="Q204" s="6">
        <f>1943.27</f>
        <v>1943.27</v>
      </c>
    </row>
    <row r="205" spans="16:17" x14ac:dyDescent="0.45">
      <c r="P205" s="4" t="s">
        <v>148</v>
      </c>
      <c r="Q205" s="6">
        <f>9587.02</f>
        <v>9587.02</v>
      </c>
    </row>
    <row r="206" spans="16:17" x14ac:dyDescent="0.45">
      <c r="P206" s="4" t="s">
        <v>147</v>
      </c>
      <c r="Q206" s="6">
        <f>9072.81</f>
        <v>9072.81</v>
      </c>
    </row>
    <row r="207" spans="16:17" x14ac:dyDescent="0.45">
      <c r="P207" s="4" t="s">
        <v>146</v>
      </c>
      <c r="Q207" s="6">
        <f>29.12</f>
        <v>29.12</v>
      </c>
    </row>
    <row r="208" spans="16:17" x14ac:dyDescent="0.45">
      <c r="P208" s="4" t="s">
        <v>145</v>
      </c>
      <c r="Q208" s="5">
        <f>((((((((((Q197)+(Q198))+(Q199))+(Q200))+(Q201))+(Q202))+(Q203))+(Q204))+(Q205))+(Q206))+(Q207)</f>
        <v>37689.78</v>
      </c>
    </row>
    <row r="209" spans="16:17" x14ac:dyDescent="0.45">
      <c r="P209" s="4" t="s">
        <v>144</v>
      </c>
      <c r="Q209" s="6">
        <f>1565.61</f>
        <v>1565.61</v>
      </c>
    </row>
    <row r="210" spans="16:17" x14ac:dyDescent="0.45">
      <c r="P210" s="4" t="s">
        <v>143</v>
      </c>
      <c r="Q210" s="6">
        <f>89.01</f>
        <v>89.01</v>
      </c>
    </row>
    <row r="211" spans="16:17" x14ac:dyDescent="0.45">
      <c r="P211" s="4" t="s">
        <v>142</v>
      </c>
      <c r="Q211" s="6">
        <f>1963.1</f>
        <v>1963.1</v>
      </c>
    </row>
    <row r="212" spans="16:17" x14ac:dyDescent="0.45">
      <c r="P212" s="4" t="s">
        <v>141</v>
      </c>
      <c r="Q212" s="3"/>
    </row>
    <row r="213" spans="16:17" x14ac:dyDescent="0.45">
      <c r="P213" s="4" t="s">
        <v>140</v>
      </c>
      <c r="Q213" s="6">
        <f>60888.79</f>
        <v>60888.79</v>
      </c>
    </row>
    <row r="214" spans="16:17" x14ac:dyDescent="0.45">
      <c r="P214" s="4" t="s">
        <v>139</v>
      </c>
      <c r="Q214" s="6">
        <f>3344.32</f>
        <v>3344.32</v>
      </c>
    </row>
    <row r="215" spans="16:17" x14ac:dyDescent="0.45">
      <c r="P215" s="4" t="s">
        <v>138</v>
      </c>
      <c r="Q215" s="6">
        <f>4941.53</f>
        <v>4941.53</v>
      </c>
    </row>
    <row r="216" spans="16:17" x14ac:dyDescent="0.45">
      <c r="P216" s="4" t="s">
        <v>137</v>
      </c>
      <c r="Q216" s="6">
        <f>5744.48</f>
        <v>5744.48</v>
      </c>
    </row>
    <row r="217" spans="16:17" x14ac:dyDescent="0.45">
      <c r="P217" s="4" t="s">
        <v>136</v>
      </c>
      <c r="Q217" s="5">
        <f>(((Q213)+(Q214))+(Q215))+(Q216)</f>
        <v>74919.12</v>
      </c>
    </row>
    <row r="218" spans="16:17" x14ac:dyDescent="0.45">
      <c r="P218" s="4" t="s">
        <v>135</v>
      </c>
      <c r="Q218" s="6">
        <f>47899.65</f>
        <v>47899.65</v>
      </c>
    </row>
    <row r="219" spans="16:17" x14ac:dyDescent="0.45">
      <c r="P219" s="4" t="s">
        <v>134</v>
      </c>
      <c r="Q219" s="6">
        <f>2661.95</f>
        <v>2661.95</v>
      </c>
    </row>
    <row r="220" spans="16:17" x14ac:dyDescent="0.45">
      <c r="P220" s="4" t="s">
        <v>133</v>
      </c>
      <c r="Q220" s="6">
        <f>3771.09</f>
        <v>3771.09</v>
      </c>
    </row>
    <row r="221" spans="16:17" x14ac:dyDescent="0.45">
      <c r="P221" s="4" t="s">
        <v>132</v>
      </c>
      <c r="Q221" s="6">
        <f>7059.89</f>
        <v>7059.89</v>
      </c>
    </row>
    <row r="222" spans="16:17" x14ac:dyDescent="0.45">
      <c r="P222" s="4" t="s">
        <v>131</v>
      </c>
      <c r="Q222" s="5">
        <f>(((Q218)+(Q219))+(Q220))+(Q221)</f>
        <v>61392.58</v>
      </c>
    </row>
    <row r="223" spans="16:17" x14ac:dyDescent="0.45">
      <c r="P223" s="4" t="s">
        <v>130</v>
      </c>
      <c r="Q223" s="5">
        <f>((Q212)+(Q217))+(Q222)</f>
        <v>136311.70000000001</v>
      </c>
    </row>
    <row r="224" spans="16:17" x14ac:dyDescent="0.45">
      <c r="P224" s="4" t="s">
        <v>129</v>
      </c>
      <c r="Q224" s="5">
        <f>((((((Q184)+(Q196))+(Q208))+(Q209))+(Q210))+(Q211))+(Q223)</f>
        <v>222489.89</v>
      </c>
    </row>
    <row r="225" spans="16:17" x14ac:dyDescent="0.45">
      <c r="P225" s="4" t="s">
        <v>128</v>
      </c>
      <c r="Q225" s="3"/>
    </row>
    <row r="226" spans="16:17" x14ac:dyDescent="0.45">
      <c r="P226" s="4" t="s">
        <v>127</v>
      </c>
      <c r="Q226" s="6">
        <f>2751</f>
        <v>2751</v>
      </c>
    </row>
    <row r="227" spans="16:17" x14ac:dyDescent="0.45">
      <c r="P227" s="4" t="s">
        <v>126</v>
      </c>
      <c r="Q227" s="6">
        <f>2562.8</f>
        <v>2562.8000000000002</v>
      </c>
    </row>
    <row r="228" spans="16:17" x14ac:dyDescent="0.45">
      <c r="P228" s="4" t="s">
        <v>125</v>
      </c>
      <c r="Q228" s="6">
        <f>253</f>
        <v>253</v>
      </c>
    </row>
    <row r="229" spans="16:17" x14ac:dyDescent="0.45">
      <c r="P229" s="4" t="s">
        <v>124</v>
      </c>
      <c r="Q229" s="6">
        <f>4051.45</f>
        <v>4051.45</v>
      </c>
    </row>
    <row r="230" spans="16:17" x14ac:dyDescent="0.45">
      <c r="P230" s="4" t="s">
        <v>123</v>
      </c>
      <c r="Q230" s="6">
        <f>985.35</f>
        <v>985.35</v>
      </c>
    </row>
    <row r="231" spans="16:17" x14ac:dyDescent="0.45">
      <c r="P231" s="4" t="s">
        <v>122</v>
      </c>
      <c r="Q231" s="5">
        <f>(Q229)+(Q230)</f>
        <v>5036.8</v>
      </c>
    </row>
    <row r="232" spans="16:17" x14ac:dyDescent="0.45">
      <c r="P232" s="4" t="s">
        <v>121</v>
      </c>
      <c r="Q232" s="3"/>
    </row>
    <row r="233" spans="16:17" x14ac:dyDescent="0.45">
      <c r="P233" s="4" t="s">
        <v>120</v>
      </c>
      <c r="Q233" s="6">
        <f>30</f>
        <v>30</v>
      </c>
    </row>
    <row r="234" spans="16:17" x14ac:dyDescent="0.45">
      <c r="P234" s="4" t="s">
        <v>119</v>
      </c>
      <c r="Q234" s="5">
        <f>(Q232)+(Q233)</f>
        <v>30</v>
      </c>
    </row>
    <row r="235" spans="16:17" x14ac:dyDescent="0.45">
      <c r="P235" s="4" t="s">
        <v>118</v>
      </c>
      <c r="Q235" s="3"/>
    </row>
    <row r="236" spans="16:17" x14ac:dyDescent="0.45">
      <c r="P236" s="4" t="s">
        <v>117</v>
      </c>
      <c r="Q236" s="6">
        <f>1021.38</f>
        <v>1021.38</v>
      </c>
    </row>
    <row r="237" spans="16:17" x14ac:dyDescent="0.45">
      <c r="P237" s="4" t="s">
        <v>116</v>
      </c>
      <c r="Q237" s="6">
        <f>812.9</f>
        <v>812.9</v>
      </c>
    </row>
    <row r="238" spans="16:17" x14ac:dyDescent="0.45">
      <c r="P238" s="4" t="s">
        <v>115</v>
      </c>
      <c r="Q238" s="5">
        <f>((Q235)+(Q236))+(Q237)</f>
        <v>1834.28</v>
      </c>
    </row>
    <row r="239" spans="16:17" x14ac:dyDescent="0.45">
      <c r="P239" s="4" t="s">
        <v>114</v>
      </c>
      <c r="Q239" s="3"/>
    </row>
    <row r="240" spans="16:17" x14ac:dyDescent="0.45">
      <c r="P240" s="4" t="s">
        <v>113</v>
      </c>
      <c r="Q240" s="6">
        <f>199.75</f>
        <v>199.75</v>
      </c>
    </row>
    <row r="241" spans="16:17" x14ac:dyDescent="0.45">
      <c r="P241" s="4" t="s">
        <v>112</v>
      </c>
      <c r="Q241" s="5">
        <f>(Q239)+(Q240)</f>
        <v>199.75</v>
      </c>
    </row>
    <row r="242" spans="16:17" x14ac:dyDescent="0.45">
      <c r="P242" s="4" t="s">
        <v>111</v>
      </c>
      <c r="Q242" s="5">
        <f>(((((((Q225)+(Q226))+(Q227))+(Q228))+(Q231))+(Q234))+(Q238))+(Q241)</f>
        <v>12667.630000000001</v>
      </c>
    </row>
    <row r="243" spans="16:17" x14ac:dyDescent="0.45">
      <c r="P243" s="4" t="s">
        <v>110</v>
      </c>
      <c r="Q243" s="3"/>
    </row>
    <row r="244" spans="16:17" x14ac:dyDescent="0.45">
      <c r="P244" s="4" t="s">
        <v>109</v>
      </c>
      <c r="Q244" s="6">
        <f>973000</f>
        <v>973000</v>
      </c>
    </row>
    <row r="245" spans="16:17" x14ac:dyDescent="0.45">
      <c r="P245" s="4" t="s">
        <v>108</v>
      </c>
      <c r="Q245" s="6">
        <f>34790</f>
        <v>34790</v>
      </c>
    </row>
    <row r="246" spans="16:17" x14ac:dyDescent="0.45">
      <c r="P246" s="4" t="s">
        <v>107</v>
      </c>
      <c r="Q246" s="6">
        <f>12531.64</f>
        <v>12531.64</v>
      </c>
    </row>
    <row r="247" spans="16:17" x14ac:dyDescent="0.45">
      <c r="P247" s="4" t="s">
        <v>106</v>
      </c>
      <c r="Q247" s="6">
        <f>-11670</f>
        <v>-11670</v>
      </c>
    </row>
    <row r="248" spans="16:17" x14ac:dyDescent="0.45">
      <c r="P248" s="4" t="s">
        <v>105</v>
      </c>
      <c r="Q248" s="6">
        <f>0</f>
        <v>0</v>
      </c>
    </row>
    <row r="249" spans="16:17" x14ac:dyDescent="0.45">
      <c r="P249" s="4" t="s">
        <v>104</v>
      </c>
      <c r="Q249" s="5">
        <f>((Q246)+(Q247))+(Q248)</f>
        <v>861.63999999999942</v>
      </c>
    </row>
    <row r="250" spans="16:17" x14ac:dyDescent="0.45">
      <c r="P250" s="4" t="s">
        <v>103</v>
      </c>
      <c r="Q250" s="3"/>
    </row>
    <row r="251" spans="16:17" x14ac:dyDescent="0.45">
      <c r="P251" s="4" t="s">
        <v>102</v>
      </c>
      <c r="Q251" s="6">
        <f>381.11</f>
        <v>381.11</v>
      </c>
    </row>
    <row r="252" spans="16:17" x14ac:dyDescent="0.45">
      <c r="P252" s="4" t="s">
        <v>101</v>
      </c>
      <c r="Q252" s="6">
        <f>11274.86</f>
        <v>11274.86</v>
      </c>
    </row>
    <row r="253" spans="16:17" x14ac:dyDescent="0.45">
      <c r="P253" s="4" t="s">
        <v>100</v>
      </c>
      <c r="Q253" s="6">
        <f>1265</f>
        <v>1265</v>
      </c>
    </row>
    <row r="254" spans="16:17" x14ac:dyDescent="0.45">
      <c r="P254" s="4" t="s">
        <v>99</v>
      </c>
      <c r="Q254" s="6">
        <f>1908.43</f>
        <v>1908.43</v>
      </c>
    </row>
    <row r="255" spans="16:17" x14ac:dyDescent="0.45">
      <c r="P255" s="4" t="s">
        <v>98</v>
      </c>
      <c r="Q255" s="6">
        <f>1551.9</f>
        <v>1551.9</v>
      </c>
    </row>
    <row r="256" spans="16:17" x14ac:dyDescent="0.45">
      <c r="P256" s="4" t="s">
        <v>97</v>
      </c>
      <c r="Q256" s="5">
        <f>(((((Q250)+(Q251))+(Q252))+(Q253))+(Q254))+(Q255)</f>
        <v>16381.300000000001</v>
      </c>
    </row>
    <row r="257" spans="16:17" x14ac:dyDescent="0.45">
      <c r="P257" s="4" t="s">
        <v>96</v>
      </c>
      <c r="Q257" s="6">
        <f>213.9</f>
        <v>213.9</v>
      </c>
    </row>
    <row r="258" spans="16:17" x14ac:dyDescent="0.45">
      <c r="P258" s="4" t="s">
        <v>95</v>
      </c>
      <c r="Q258" s="6">
        <f>82695.96</f>
        <v>82695.960000000006</v>
      </c>
    </row>
    <row r="259" spans="16:17" x14ac:dyDescent="0.45">
      <c r="P259" s="4" t="s">
        <v>94</v>
      </c>
      <c r="Q259" s="6">
        <f>4434.79</f>
        <v>4434.79</v>
      </c>
    </row>
    <row r="260" spans="16:17" x14ac:dyDescent="0.45">
      <c r="P260" s="4" t="s">
        <v>93</v>
      </c>
      <c r="Q260" s="6">
        <f>6433</f>
        <v>6433</v>
      </c>
    </row>
    <row r="261" spans="16:17" x14ac:dyDescent="0.45">
      <c r="P261" s="4" t="s">
        <v>92</v>
      </c>
      <c r="Q261" s="6">
        <f>6047.02</f>
        <v>6047.02</v>
      </c>
    </row>
    <row r="262" spans="16:17" x14ac:dyDescent="0.45">
      <c r="P262" s="4" t="s">
        <v>91</v>
      </c>
      <c r="Q262" s="6">
        <f>37100.33</f>
        <v>37100.33</v>
      </c>
    </row>
    <row r="263" spans="16:17" x14ac:dyDescent="0.45">
      <c r="P263" s="4" t="s">
        <v>90</v>
      </c>
      <c r="Q263" s="6">
        <f>2944.92</f>
        <v>2944.92</v>
      </c>
    </row>
    <row r="264" spans="16:17" x14ac:dyDescent="0.45">
      <c r="P264" s="4" t="s">
        <v>89</v>
      </c>
      <c r="Q264" s="6">
        <f>2155.01</f>
        <v>2155.0100000000002</v>
      </c>
    </row>
    <row r="265" spans="16:17" x14ac:dyDescent="0.45">
      <c r="P265" s="4" t="s">
        <v>88</v>
      </c>
      <c r="Q265" s="5">
        <f>((Q262)+(Q263))+(Q264)</f>
        <v>42200.26</v>
      </c>
    </row>
    <row r="266" spans="16:17" x14ac:dyDescent="0.45">
      <c r="P266" s="4" t="s">
        <v>87</v>
      </c>
      <c r="Q266" s="6">
        <f>52490.4</f>
        <v>52490.400000000001</v>
      </c>
    </row>
    <row r="267" spans="16:17" x14ac:dyDescent="0.45">
      <c r="P267" s="4" t="s">
        <v>86</v>
      </c>
      <c r="Q267" s="6">
        <f>2924.56</f>
        <v>2924.56</v>
      </c>
    </row>
    <row r="268" spans="16:17" x14ac:dyDescent="0.45">
      <c r="P268" s="4" t="s">
        <v>85</v>
      </c>
      <c r="Q268" s="6">
        <f>4122.27</f>
        <v>4122.2700000000004</v>
      </c>
    </row>
    <row r="269" spans="16:17" x14ac:dyDescent="0.45">
      <c r="P269" s="4" t="s">
        <v>84</v>
      </c>
      <c r="Q269" s="6">
        <f>7235.92</f>
        <v>7235.92</v>
      </c>
    </row>
    <row r="270" spans="16:17" x14ac:dyDescent="0.45">
      <c r="P270" s="4" t="s">
        <v>83</v>
      </c>
      <c r="Q270" s="6">
        <f>90942.32</f>
        <v>90942.32</v>
      </c>
    </row>
    <row r="271" spans="16:17" x14ac:dyDescent="0.45">
      <c r="P271" s="4" t="s">
        <v>82</v>
      </c>
      <c r="Q271" s="6">
        <f>7063.84</f>
        <v>7063.84</v>
      </c>
    </row>
    <row r="272" spans="16:17" x14ac:dyDescent="0.45">
      <c r="P272" s="4" t="s">
        <v>81</v>
      </c>
      <c r="Q272" s="6">
        <f>1384.64</f>
        <v>1384.64</v>
      </c>
    </row>
    <row r="273" spans="16:17" x14ac:dyDescent="0.45">
      <c r="P273" s="4" t="s">
        <v>80</v>
      </c>
      <c r="Q273" s="6">
        <f>2230.4</f>
        <v>2230.4</v>
      </c>
    </row>
    <row r="274" spans="16:17" x14ac:dyDescent="0.45">
      <c r="P274" s="4" t="s">
        <v>79</v>
      </c>
      <c r="Q274" s="5">
        <f>(((Q270)+(Q271))+(Q272))+(Q273)</f>
        <v>101621.2</v>
      </c>
    </row>
    <row r="275" spans="16:17" x14ac:dyDescent="0.45">
      <c r="P275" s="4" t="s">
        <v>78</v>
      </c>
      <c r="Q275" s="5">
        <f>((((((((((Q257)+(Q258))+(Q259))+(Q260))+(Q261))+(Q265))+(Q266))+(Q267))+(Q268))+(Q269))+(Q274)</f>
        <v>310419.27999999997</v>
      </c>
    </row>
    <row r="276" spans="16:17" x14ac:dyDescent="0.45">
      <c r="P276" s="4" t="s">
        <v>77</v>
      </c>
      <c r="Q276" s="6">
        <f>6300</f>
        <v>6300</v>
      </c>
    </row>
    <row r="277" spans="16:17" x14ac:dyDescent="0.45">
      <c r="P277" s="4" t="s">
        <v>76</v>
      </c>
      <c r="Q277" s="5">
        <f>((((((Q243)+(Q244))+(Q245))+(Q249))+(Q256))+(Q275))+(Q276)</f>
        <v>1341752.22</v>
      </c>
    </row>
    <row r="278" spans="16:17" x14ac:dyDescent="0.45">
      <c r="P278" s="4" t="s">
        <v>75</v>
      </c>
      <c r="Q278" s="6">
        <f>1499</f>
        <v>1499</v>
      </c>
    </row>
    <row r="279" spans="16:17" x14ac:dyDescent="0.45">
      <c r="P279" s="4" t="s">
        <v>74</v>
      </c>
      <c r="Q279" s="6">
        <f>7280.93</f>
        <v>7280.93</v>
      </c>
    </row>
    <row r="280" spans="16:17" x14ac:dyDescent="0.45">
      <c r="P280" s="4" t="s">
        <v>73</v>
      </c>
      <c r="Q280" s="6">
        <f>230.03</f>
        <v>230.03</v>
      </c>
    </row>
    <row r="281" spans="16:17" x14ac:dyDescent="0.45">
      <c r="P281" s="4" t="s">
        <v>72</v>
      </c>
      <c r="Q281" s="6">
        <f>1095</f>
        <v>1095</v>
      </c>
    </row>
    <row r="282" spans="16:17" x14ac:dyDescent="0.45">
      <c r="P282" s="4" t="s">
        <v>71</v>
      </c>
      <c r="Q282" s="6">
        <f>8990.36</f>
        <v>8990.36</v>
      </c>
    </row>
    <row r="283" spans="16:17" x14ac:dyDescent="0.45">
      <c r="P283" s="4" t="s">
        <v>70</v>
      </c>
      <c r="Q283" s="6">
        <f>19675.38</f>
        <v>19675.38</v>
      </c>
    </row>
    <row r="284" spans="16:17" x14ac:dyDescent="0.45">
      <c r="P284" s="4" t="s">
        <v>69</v>
      </c>
      <c r="Q284" s="6">
        <f>1199.88</f>
        <v>1199.8800000000001</v>
      </c>
    </row>
    <row r="285" spans="16:17" x14ac:dyDescent="0.45">
      <c r="P285" s="4" t="s">
        <v>68</v>
      </c>
      <c r="Q285" s="6">
        <f>1845</f>
        <v>1845</v>
      </c>
    </row>
    <row r="286" spans="16:17" x14ac:dyDescent="0.45">
      <c r="P286" s="4" t="s">
        <v>67</v>
      </c>
      <c r="Q286" s="5">
        <f>((Q283)+(Q284))+(Q285)</f>
        <v>22720.260000000002</v>
      </c>
    </row>
    <row r="287" spans="16:17" x14ac:dyDescent="0.45">
      <c r="P287" s="4" t="s">
        <v>66</v>
      </c>
      <c r="Q287" s="3"/>
    </row>
    <row r="288" spans="16:17" x14ac:dyDescent="0.45">
      <c r="P288" s="4" t="s">
        <v>65</v>
      </c>
      <c r="Q288" s="6">
        <f>2862.5</f>
        <v>2862.5</v>
      </c>
    </row>
    <row r="289" spans="16:17" x14ac:dyDescent="0.45">
      <c r="P289" s="4" t="s">
        <v>64</v>
      </c>
      <c r="Q289" s="6">
        <f>1047</f>
        <v>1047</v>
      </c>
    </row>
    <row r="290" spans="16:17" x14ac:dyDescent="0.45">
      <c r="P290" s="4" t="s">
        <v>63</v>
      </c>
      <c r="Q290" s="5">
        <f>((Q287)+(Q288))+(Q289)</f>
        <v>3909.5</v>
      </c>
    </row>
    <row r="291" spans="16:17" x14ac:dyDescent="0.45">
      <c r="P291" s="4" t="s">
        <v>62</v>
      </c>
      <c r="Q291" s="6">
        <f>2000.34</f>
        <v>2000.34</v>
      </c>
    </row>
    <row r="292" spans="16:17" x14ac:dyDescent="0.45">
      <c r="P292" s="4" t="s">
        <v>61</v>
      </c>
      <c r="Q292" s="6">
        <f>4483.76</f>
        <v>4483.76</v>
      </c>
    </row>
    <row r="293" spans="16:17" x14ac:dyDescent="0.45">
      <c r="P293" s="4" t="s">
        <v>60</v>
      </c>
      <c r="Q293" s="6">
        <f>1342.31</f>
        <v>1342.31</v>
      </c>
    </row>
    <row r="294" spans="16:17" x14ac:dyDescent="0.45">
      <c r="P294" s="4" t="s">
        <v>59</v>
      </c>
      <c r="Q294" s="6">
        <f>-100</f>
        <v>-100</v>
      </c>
    </row>
    <row r="295" spans="16:17" x14ac:dyDescent="0.45">
      <c r="P295" s="4" t="s">
        <v>58</v>
      </c>
      <c r="Q295" s="6">
        <f>5.42</f>
        <v>5.42</v>
      </c>
    </row>
    <row r="296" spans="16:17" x14ac:dyDescent="0.45">
      <c r="P296" s="4" t="s">
        <v>57</v>
      </c>
      <c r="Q296" s="6">
        <f>2500</f>
        <v>2500</v>
      </c>
    </row>
    <row r="297" spans="16:17" x14ac:dyDescent="0.45">
      <c r="P297" s="4" t="s">
        <v>56</v>
      </c>
      <c r="Q297" s="6">
        <f>16500</f>
        <v>16500</v>
      </c>
    </row>
    <row r="298" spans="16:17" x14ac:dyDescent="0.45">
      <c r="P298" s="4" t="s">
        <v>55</v>
      </c>
      <c r="Q298" s="6">
        <f>3220</f>
        <v>3220</v>
      </c>
    </row>
    <row r="299" spans="16:17" x14ac:dyDescent="0.45">
      <c r="P299" s="4" t="s">
        <v>54</v>
      </c>
      <c r="Q299" s="6">
        <f>41546.25</f>
        <v>41546.25</v>
      </c>
    </row>
    <row r="300" spans="16:17" x14ac:dyDescent="0.45">
      <c r="P300" s="4" t="s">
        <v>53</v>
      </c>
      <c r="Q300" s="5">
        <f>(((Q296)+(Q297))+(Q298))+(Q299)</f>
        <v>63766.25</v>
      </c>
    </row>
    <row r="301" spans="16:17" x14ac:dyDescent="0.45">
      <c r="P301" s="4" t="s">
        <v>52</v>
      </c>
      <c r="Q301" s="6">
        <f>4077.81</f>
        <v>4077.81</v>
      </c>
    </row>
    <row r="302" spans="16:17" x14ac:dyDescent="0.45">
      <c r="P302" s="4" t="s">
        <v>51</v>
      </c>
      <c r="Q302" s="3"/>
    </row>
    <row r="303" spans="16:17" x14ac:dyDescent="0.45">
      <c r="P303" s="4" t="s">
        <v>50</v>
      </c>
      <c r="Q303" s="6">
        <f>738.39</f>
        <v>738.39</v>
      </c>
    </row>
    <row r="304" spans="16:17" x14ac:dyDescent="0.45">
      <c r="P304" s="4" t="s">
        <v>49</v>
      </c>
      <c r="Q304" s="6">
        <f>1021</f>
        <v>1021</v>
      </c>
    </row>
    <row r="305" spans="16:17" x14ac:dyDescent="0.45">
      <c r="P305" s="4" t="s">
        <v>48</v>
      </c>
      <c r="Q305" s="6">
        <f>1329.71</f>
        <v>1329.71</v>
      </c>
    </row>
    <row r="306" spans="16:17" x14ac:dyDescent="0.45">
      <c r="P306" s="4" t="s">
        <v>47</v>
      </c>
      <c r="Q306" s="6">
        <f>133</f>
        <v>133</v>
      </c>
    </row>
    <row r="307" spans="16:17" x14ac:dyDescent="0.45">
      <c r="P307" s="4" t="s">
        <v>46</v>
      </c>
      <c r="Q307" s="5">
        <f>((((Q302)+(Q303))+(Q304))+(Q305))+(Q306)</f>
        <v>3222.1</v>
      </c>
    </row>
    <row r="308" spans="16:17" x14ac:dyDescent="0.45">
      <c r="P308" s="4" t="s">
        <v>45</v>
      </c>
      <c r="Q308" s="3"/>
    </row>
    <row r="309" spans="16:17" x14ac:dyDescent="0.45">
      <c r="P309" s="4" t="s">
        <v>44</v>
      </c>
      <c r="Q309" s="6">
        <f>1863.28</f>
        <v>1863.28</v>
      </c>
    </row>
    <row r="310" spans="16:17" x14ac:dyDescent="0.45">
      <c r="P310" s="4" t="s">
        <v>43</v>
      </c>
      <c r="Q310" s="6">
        <f>555.5</f>
        <v>555.5</v>
      </c>
    </row>
    <row r="311" spans="16:17" x14ac:dyDescent="0.45">
      <c r="P311" s="4" t="s">
        <v>42</v>
      </c>
      <c r="Q311" s="6">
        <f>8598</f>
        <v>8598</v>
      </c>
    </row>
    <row r="312" spans="16:17" x14ac:dyDescent="0.45">
      <c r="P312" s="4" t="s">
        <v>41</v>
      </c>
      <c r="Q312" s="6">
        <f>8078.84</f>
        <v>8078.84</v>
      </c>
    </row>
    <row r="313" spans="16:17" x14ac:dyDescent="0.45">
      <c r="P313" s="4" t="s">
        <v>40</v>
      </c>
      <c r="Q313" s="6">
        <f>0</f>
        <v>0</v>
      </c>
    </row>
    <row r="314" spans="16:17" x14ac:dyDescent="0.45">
      <c r="P314" s="4" t="s">
        <v>39</v>
      </c>
      <c r="Q314" s="6">
        <f>637.71</f>
        <v>637.71</v>
      </c>
    </row>
    <row r="315" spans="16:17" x14ac:dyDescent="0.45">
      <c r="P315" s="4" t="s">
        <v>38</v>
      </c>
      <c r="Q315" s="6">
        <f>980.34</f>
        <v>980.34</v>
      </c>
    </row>
    <row r="316" spans="16:17" x14ac:dyDescent="0.45">
      <c r="P316" s="4" t="s">
        <v>37</v>
      </c>
      <c r="Q316" s="5">
        <f>(((((((Q308)+(Q309))+(Q310))+(Q311))+(Q312))+(Q313))+(Q314))+(Q315)</f>
        <v>20713.669999999998</v>
      </c>
    </row>
    <row r="317" spans="16:17" x14ac:dyDescent="0.45">
      <c r="P317" s="4" t="s">
        <v>36</v>
      </c>
      <c r="Q317" s="5">
        <f>(((((((((((((Q280)+(Q281))+(Q282))+(Q286))+(Q290))+(Q291))+(Q292))+(Q293))+(Q294))+(Q295))+(Q300))+(Q301))+(Q307))+(Q316)</f>
        <v>136456.81</v>
      </c>
    </row>
    <row r="318" spans="16:17" x14ac:dyDescent="0.45">
      <c r="P318" s="4" t="s">
        <v>35</v>
      </c>
      <c r="Q318" s="3"/>
    </row>
    <row r="319" spans="16:17" x14ac:dyDescent="0.45">
      <c r="P319" s="4" t="s">
        <v>34</v>
      </c>
      <c r="Q319" s="6">
        <f>250</f>
        <v>250</v>
      </c>
    </row>
    <row r="320" spans="16:17" x14ac:dyDescent="0.45">
      <c r="P320" s="4" t="s">
        <v>33</v>
      </c>
      <c r="Q320" s="6">
        <f>7</f>
        <v>7</v>
      </c>
    </row>
    <row r="321" spans="16:17" x14ac:dyDescent="0.45">
      <c r="P321" s="4" t="s">
        <v>32</v>
      </c>
      <c r="Q321" s="6">
        <f>5955.36</f>
        <v>5955.36</v>
      </c>
    </row>
    <row r="322" spans="16:17" x14ac:dyDescent="0.45">
      <c r="P322" s="4" t="s">
        <v>31</v>
      </c>
      <c r="Q322" s="3"/>
    </row>
    <row r="323" spans="16:17" x14ac:dyDescent="0.45">
      <c r="P323" s="4" t="s">
        <v>30</v>
      </c>
      <c r="Q323" s="6">
        <f>633.8</f>
        <v>633.79999999999995</v>
      </c>
    </row>
    <row r="324" spans="16:17" x14ac:dyDescent="0.45">
      <c r="P324" s="4" t="s">
        <v>29</v>
      </c>
      <c r="Q324" s="5">
        <f>(Q322)+(Q323)</f>
        <v>633.79999999999995</v>
      </c>
    </row>
    <row r="325" spans="16:17" x14ac:dyDescent="0.45">
      <c r="P325" s="4" t="s">
        <v>28</v>
      </c>
      <c r="Q325" s="3"/>
    </row>
    <row r="326" spans="16:17" x14ac:dyDescent="0.45">
      <c r="P326" s="4" t="s">
        <v>27</v>
      </c>
      <c r="Q326" s="6">
        <f>67653.83</f>
        <v>67653.83</v>
      </c>
    </row>
    <row r="327" spans="16:17" x14ac:dyDescent="0.45">
      <c r="P327" s="4" t="s">
        <v>26</v>
      </c>
      <c r="Q327" s="6">
        <f>3257.74</f>
        <v>3257.74</v>
      </c>
    </row>
    <row r="328" spans="16:17" x14ac:dyDescent="0.45">
      <c r="P328" s="4" t="s">
        <v>25</v>
      </c>
      <c r="Q328" s="6">
        <f>5091.03</f>
        <v>5091.03</v>
      </c>
    </row>
    <row r="329" spans="16:17" x14ac:dyDescent="0.45">
      <c r="P329" s="4" t="s">
        <v>24</v>
      </c>
      <c r="Q329" s="6">
        <f>7928.43</f>
        <v>7928.43</v>
      </c>
    </row>
    <row r="330" spans="16:17" x14ac:dyDescent="0.45">
      <c r="P330" s="4" t="s">
        <v>23</v>
      </c>
      <c r="Q330" s="5">
        <f>(((Q326)+(Q327))+(Q328))+(Q329)</f>
        <v>83931.03</v>
      </c>
    </row>
    <row r="331" spans="16:17" x14ac:dyDescent="0.45">
      <c r="P331" s="4" t="s">
        <v>22</v>
      </c>
      <c r="Q331" s="6">
        <f>53615.36</f>
        <v>53615.360000000001</v>
      </c>
    </row>
    <row r="332" spans="16:17" x14ac:dyDescent="0.45">
      <c r="P332" s="4" t="s">
        <v>21</v>
      </c>
      <c r="Q332" s="6">
        <f>2980.72</f>
        <v>2980.72</v>
      </c>
    </row>
    <row r="333" spans="16:17" x14ac:dyDescent="0.45">
      <c r="P333" s="4" t="s">
        <v>20</v>
      </c>
      <c r="Q333" s="6">
        <f>4208.32</f>
        <v>4208.32</v>
      </c>
    </row>
    <row r="334" spans="16:17" x14ac:dyDescent="0.45">
      <c r="P334" s="4" t="s">
        <v>19</v>
      </c>
      <c r="Q334" s="6">
        <f>7150.84</f>
        <v>7150.84</v>
      </c>
    </row>
    <row r="335" spans="16:17" x14ac:dyDescent="0.45">
      <c r="P335" s="4" t="s">
        <v>18</v>
      </c>
      <c r="Q335" s="5">
        <f>(((Q331)+(Q332))+(Q333))+(Q334)</f>
        <v>67955.240000000005</v>
      </c>
    </row>
    <row r="336" spans="16:17" x14ac:dyDescent="0.45">
      <c r="P336" s="4" t="s">
        <v>17</v>
      </c>
      <c r="Q336" s="5">
        <f>((Q325)+(Q330))+(Q335)</f>
        <v>151886.27000000002</v>
      </c>
    </row>
    <row r="337" spans="16:17" x14ac:dyDescent="0.45">
      <c r="P337" s="4" t="s">
        <v>16</v>
      </c>
      <c r="Q337" s="6">
        <f>203</f>
        <v>203</v>
      </c>
    </row>
    <row r="338" spans="16:17" x14ac:dyDescent="0.45">
      <c r="P338" s="4" t="s">
        <v>15</v>
      </c>
      <c r="Q338" s="5">
        <f>((((((Q318)+(Q319))+(Q320))+(Q321))+(Q324))+(Q336))+(Q337)</f>
        <v>158935.43000000002</v>
      </c>
    </row>
    <row r="339" spans="16:17" x14ac:dyDescent="0.45">
      <c r="P339" s="4" t="s">
        <v>14</v>
      </c>
      <c r="Q339" s="6">
        <f>3100</f>
        <v>3100</v>
      </c>
    </row>
    <row r="340" spans="16:17" x14ac:dyDescent="0.45">
      <c r="P340" s="4" t="s">
        <v>13</v>
      </c>
      <c r="Q340" s="3"/>
    </row>
    <row r="341" spans="16:17" x14ac:dyDescent="0.45">
      <c r="P341" s="4" t="s">
        <v>12</v>
      </c>
      <c r="Q341" s="3"/>
    </row>
    <row r="342" spans="16:17" x14ac:dyDescent="0.45">
      <c r="P342" s="4" t="s">
        <v>11</v>
      </c>
      <c r="Q342" s="6">
        <f>0</f>
        <v>0</v>
      </c>
    </row>
    <row r="343" spans="16:17" x14ac:dyDescent="0.45">
      <c r="P343" s="4" t="s">
        <v>10</v>
      </c>
      <c r="Q343" s="5">
        <f>(Q341)+(Q342)</f>
        <v>0</v>
      </c>
    </row>
    <row r="344" spans="16:17" x14ac:dyDescent="0.45">
      <c r="P344" s="4" t="s">
        <v>9</v>
      </c>
      <c r="Q344" s="5">
        <f>(Q340)+(Q343)</f>
        <v>0</v>
      </c>
    </row>
    <row r="345" spans="16:17" x14ac:dyDescent="0.45">
      <c r="P345" s="4" t="s">
        <v>8</v>
      </c>
      <c r="Q345" s="6">
        <f>0</f>
        <v>0</v>
      </c>
    </row>
    <row r="346" spans="16:17" x14ac:dyDescent="0.45">
      <c r="P346" s="4" t="s">
        <v>7</v>
      </c>
      <c r="Q346" s="5">
        <f>(((((((((((((((Q85)+(Q92))+(Q97))+(Q102))+(Q115))+(Q183))+(Q224))+(Q242))+(Q277))+(Q278))+(Q279))+(Q317))+(Q338))+(Q339))+(Q344))+(Q345)</f>
        <v>2546926.4000000004</v>
      </c>
    </row>
    <row r="347" spans="16:17" x14ac:dyDescent="0.45">
      <c r="P347" s="4" t="s">
        <v>6</v>
      </c>
      <c r="Q347" s="5">
        <f>(Q81)-(Q346)</f>
        <v>103925.8899999992</v>
      </c>
    </row>
    <row r="348" spans="16:17" x14ac:dyDescent="0.45">
      <c r="P348" s="4" t="s">
        <v>5</v>
      </c>
      <c r="Q348" s="5">
        <f>(Q347)+(0)</f>
        <v>103925.8899999992</v>
      </c>
    </row>
    <row r="349" spans="16:17" x14ac:dyDescent="0.45">
      <c r="P349" s="4"/>
      <c r="Q349" s="3"/>
    </row>
    <row r="352" spans="16:17" x14ac:dyDescent="0.45">
      <c r="P352" s="10" t="s">
        <v>4</v>
      </c>
      <c r="Q352" s="11"/>
    </row>
  </sheetData>
  <mergeCells count="4">
    <mergeCell ref="P352:Q352"/>
    <mergeCell ref="P1:Q1"/>
    <mergeCell ref="P2:Q2"/>
    <mergeCell ref="P3:Q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Friedman</dc:creator>
  <cp:lastModifiedBy>Tori Velasquez</cp:lastModifiedBy>
  <dcterms:created xsi:type="dcterms:W3CDTF">2025-10-08T14:18:18Z</dcterms:created>
  <dcterms:modified xsi:type="dcterms:W3CDTF">2025-10-14T18:46:45Z</dcterms:modified>
</cp:coreProperties>
</file>